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R:\Iepirkumu_un_ligumu_dala\Aktualie iepirkumi\BKUS_2019_50_AK_34 korpusa parbuve (ERAF)\1_izsludinansa\"/>
    </mc:Choice>
  </mc:AlternateContent>
  <xr:revisionPtr revIDLastSave="0" documentId="13_ncr:1_{B44E1744-28EB-4273-9A4C-4905D0ED223D}" xr6:coauthVersionLast="44" xr6:coauthVersionMax="44" xr10:uidLastSave="{00000000-0000-0000-0000-000000000000}"/>
  <bookViews>
    <workbookView xWindow="-120" yWindow="-120" windowWidth="29040" windowHeight="15840" tabRatio="830" activeTab="14" xr2:uid="{00000000-000D-0000-FFFF-FFFF00000000}"/>
  </bookViews>
  <sheets>
    <sheet name="Koptame" sheetId="2" r:id="rId1"/>
    <sheet name="Kopsavilkums 1" sheetId="22" r:id="rId2"/>
    <sheet name="1.1" sheetId="9" r:id="rId3"/>
    <sheet name="1.2" sheetId="10" r:id="rId4"/>
    <sheet name="1.3" sheetId="13" r:id="rId5"/>
    <sheet name="1.4" sheetId="16" r:id="rId6"/>
    <sheet name="1.5" sheetId="70" r:id="rId7"/>
    <sheet name="1.6" sheetId="17" r:id="rId8"/>
    <sheet name="1.7" sheetId="18" r:id="rId9"/>
    <sheet name="1.8" sheetId="63" r:id="rId10"/>
    <sheet name="1.9" sheetId="20" r:id="rId11"/>
    <sheet name="1.10" sheetId="19" r:id="rId12"/>
    <sheet name="1.11" sheetId="54" r:id="rId13"/>
    <sheet name="1.12" sheetId="73" r:id="rId14"/>
    <sheet name="1.13" sheetId="74" r:id="rId15"/>
    <sheet name="1.14" sheetId="75" r:id="rId16"/>
    <sheet name="Kopsavilkums 2" sheetId="33" r:id="rId17"/>
    <sheet name="2.1" sheetId="34" r:id="rId18"/>
    <sheet name="2.2" sheetId="35" r:id="rId19"/>
    <sheet name="2.3" sheetId="36" r:id="rId20"/>
    <sheet name="2.4" sheetId="37" r:id="rId21"/>
    <sheet name="2.5" sheetId="38" r:id="rId22"/>
    <sheet name="2.6" sheetId="40" r:id="rId23"/>
    <sheet name="2.7" sheetId="41" r:id="rId24"/>
    <sheet name="2.8" sheetId="42" r:id="rId25"/>
    <sheet name="2.9" sheetId="43" r:id="rId26"/>
    <sheet name="2.10" sheetId="44" r:id="rId27"/>
    <sheet name="2.11" sheetId="45" r:id="rId28"/>
    <sheet name="2.12" sheetId="47" r:id="rId29"/>
    <sheet name="2.13" sheetId="48" r:id="rId30"/>
    <sheet name="Kopsavilkums 3" sheetId="57" r:id="rId31"/>
    <sheet name="3.1" sheetId="60" r:id="rId32"/>
    <sheet name="Kopsavilkums 4" sheetId="67" r:id="rId33"/>
    <sheet name="4.1" sheetId="68" r:id="rId34"/>
    <sheet name="4.2" sheetId="76" r:id="rId35"/>
  </sheets>
  <externalReferences>
    <externalReference r:id="rId36"/>
  </externalReferences>
  <definedNames>
    <definedName name="A">'[1]2'!$A$1</definedName>
    <definedName name="P" localSheetId="2">#REF!</definedName>
    <definedName name="P" localSheetId="11">#REF!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10">#REF!</definedName>
    <definedName name="P" localSheetId="17">#REF!</definedName>
    <definedName name="P" localSheetId="26">#REF!</definedName>
    <definedName name="P" localSheetId="27">#REF!</definedName>
    <definedName name="P" localSheetId="28">#REF!</definedName>
    <definedName name="P" localSheetId="29">#REF!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3">#REF!</definedName>
    <definedName name="P" localSheetId="24">#REF!</definedName>
    <definedName name="P" localSheetId="25">#REF!</definedName>
    <definedName name="P" localSheetId="31">#REF!</definedName>
    <definedName name="P" localSheetId="1">#REF!</definedName>
    <definedName name="P" localSheetId="16">#REF!</definedName>
    <definedName name="P" localSheetId="30">#REF!</definedName>
    <definedName name="P">#REF!</definedName>
    <definedName name="_xlnm.Print_Area" localSheetId="2">'1.1'!$A$1:$P$45</definedName>
    <definedName name="_xlnm.Print_Area" localSheetId="3">'1.2'!$A$1:$P$49</definedName>
    <definedName name="_xlnm.Print_Area" localSheetId="8">'1.7'!$A$1:$P$82</definedName>
    <definedName name="_xlnm.Print_Area" localSheetId="10">'1.9'!$A$1:$P$120</definedName>
    <definedName name="_xlnm.Print_Area" localSheetId="27">'2.11'!$A$1:$Q$63</definedName>
    <definedName name="_xlnm.Print_Area" localSheetId="28">'2.12'!$A$1:$Q$33</definedName>
    <definedName name="_xlnm.Print_Area" localSheetId="29">'2.13'!$A$1:$P$51</definedName>
    <definedName name="_xlnm.Print_Area" localSheetId="19">'2.3'!$A$1:$Q$144</definedName>
    <definedName name="_xlnm.Print_Area" localSheetId="21">'2.5'!$A$1:$Q$52</definedName>
    <definedName name="_xlnm.Print_Area" localSheetId="23">'2.7'!$A$1:$P$39</definedName>
    <definedName name="_xlnm.Print_Area" localSheetId="31">'3.1'!$A$1:$P$60</definedName>
    <definedName name="_xlnm.Print_Area" localSheetId="0">Koptame!$A$1:$C$42</definedName>
    <definedName name="_xlnm.Print_Titles" localSheetId="2">'1.1'!$10:$11</definedName>
    <definedName name="_xlnm.Print_Titles" localSheetId="11">'1.10'!$10:$11</definedName>
    <definedName name="_xlnm.Print_Titles" localSheetId="3">'1.2'!$10:$11</definedName>
    <definedName name="_xlnm.Print_Titles" localSheetId="4">'1.3'!$10:$11</definedName>
    <definedName name="_xlnm.Print_Titles" localSheetId="5">'1.4'!$10:$11</definedName>
    <definedName name="_xlnm.Print_Titles" localSheetId="6">'1.5'!$10:$11</definedName>
    <definedName name="_xlnm.Print_Titles" localSheetId="7">'1.6'!$10:$11</definedName>
    <definedName name="_xlnm.Print_Titles" localSheetId="8">'1.7'!$10:$11</definedName>
    <definedName name="_xlnm.Print_Titles" localSheetId="10">'1.9'!$10:$11</definedName>
    <definedName name="_xlnm.Print_Titles" localSheetId="17">'2.1'!$10:$11</definedName>
    <definedName name="_xlnm.Print_Titles" localSheetId="26">'2.10'!$10:$11</definedName>
    <definedName name="_xlnm.Print_Titles" localSheetId="27">'2.11'!$10:$11</definedName>
    <definedName name="_xlnm.Print_Titles" localSheetId="28">'2.12'!$10:$11</definedName>
    <definedName name="_xlnm.Print_Titles" localSheetId="29">'2.13'!$10:$11</definedName>
    <definedName name="_xlnm.Print_Titles" localSheetId="18">'2.2'!$10:$11</definedName>
    <definedName name="_xlnm.Print_Titles" localSheetId="19">'2.3'!$10:$11</definedName>
    <definedName name="_xlnm.Print_Titles" localSheetId="20">'2.4'!$10:$11</definedName>
    <definedName name="_xlnm.Print_Titles" localSheetId="21">'2.5'!$10:$11</definedName>
    <definedName name="_xlnm.Print_Titles" localSheetId="22">'2.6'!$10:$11</definedName>
    <definedName name="_xlnm.Print_Titles" localSheetId="23">'2.7'!$10:$11</definedName>
    <definedName name="_xlnm.Print_Titles" localSheetId="24">'2.8'!$10:$11</definedName>
    <definedName name="_xlnm.Print_Titles" localSheetId="25">'2.9'!$10:$11</definedName>
    <definedName name="_xlnm.Print_Titles" localSheetId="31">'3.1'!$10:$11</definedName>
    <definedName name="_xlnm.Print_Titles" localSheetId="1">'Kopsavilkums 1'!$15:$16</definedName>
    <definedName name="_xlnm.Print_Titles" localSheetId="16">'Kopsavilkums 2'!$15:$16</definedName>
    <definedName name="_xlnm.Print_Titles" localSheetId="30">'Kopsavilkums 3'!$15:$16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6" i="34" l="1"/>
  <c r="A17" i="34" s="1"/>
  <c r="A18" i="34" s="1"/>
  <c r="A19" i="34" s="1"/>
  <c r="A20" i="34" s="1"/>
  <c r="A21" i="34" s="1"/>
  <c r="A22" i="34" s="1"/>
  <c r="A23" i="34" s="1"/>
  <c r="A24" i="34" s="1"/>
  <c r="A25" i="34" s="1"/>
  <c r="A26" i="34" s="1"/>
  <c r="A27" i="34" s="1"/>
  <c r="A28" i="34" s="1"/>
  <c r="A29" i="34" s="1"/>
  <c r="A31" i="34" s="1"/>
  <c r="A15" i="34"/>
  <c r="E78" i="17"/>
  <c r="A32" i="34" l="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M57" i="60"/>
  <c r="L56" i="60"/>
  <c r="N63" i="45"/>
  <c r="M62" i="45"/>
  <c r="M31" i="41"/>
  <c r="N31" i="41"/>
  <c r="O31" i="41"/>
  <c r="P31" i="41"/>
  <c r="P8" i="41" s="1"/>
  <c r="L31" i="41"/>
  <c r="M35" i="41"/>
  <c r="L34" i="41"/>
  <c r="N49" i="38"/>
  <c r="M48" i="38"/>
  <c r="A79" i="34" l="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F38" i="68"/>
  <c r="F41" i="68" s="1"/>
  <c r="F36" i="68"/>
  <c r="F37" i="68" s="1"/>
  <c r="F40" i="68" s="1"/>
  <c r="M40" i="48"/>
  <c r="L39" i="48"/>
  <c r="N32" i="47"/>
  <c r="M31" i="47"/>
  <c r="F25" i="44"/>
  <c r="F20" i="38"/>
  <c r="F129" i="36"/>
  <c r="F75" i="36"/>
  <c r="F71" i="36"/>
  <c r="F26" i="36"/>
  <c r="A105" i="34" l="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129" i="34" s="1"/>
  <c r="A130" i="34" s="1"/>
  <c r="A131" i="34" s="1"/>
  <c r="A132" i="34" s="1"/>
  <c r="A133" i="34" s="1"/>
  <c r="A134" i="34" s="1"/>
  <c r="A135" i="34" s="1"/>
  <c r="A136" i="34" s="1"/>
  <c r="A137" i="34" s="1"/>
  <c r="A138" i="34" s="1"/>
  <c r="A139" i="34" s="1"/>
  <c r="A140" i="34" s="1"/>
  <c r="A141" i="34" s="1"/>
  <c r="A142" i="34" s="1"/>
  <c r="A143" i="34" s="1"/>
  <c r="A144" i="34" s="1"/>
  <c r="A145" i="34" s="1"/>
  <c r="A146" i="34" s="1"/>
  <c r="A147" i="34" s="1"/>
  <c r="A148" i="34" s="1"/>
  <c r="A149" i="34" s="1"/>
  <c r="A150" i="34" s="1"/>
  <c r="A151" i="34" s="1"/>
  <c r="A152" i="34" s="1"/>
  <c r="A153" i="34" s="1"/>
  <c r="A154" i="34" s="1"/>
  <c r="A155" i="34" s="1"/>
  <c r="A156" i="34" s="1"/>
  <c r="A157" i="34" s="1"/>
  <c r="A158" i="34" s="1"/>
  <c r="A159" i="34" s="1"/>
  <c r="A160" i="34" s="1"/>
  <c r="A161" i="34" s="1"/>
  <c r="A162" i="34" s="1"/>
  <c r="A163" i="34" s="1"/>
  <c r="A164" i="34" s="1"/>
  <c r="A165" i="34" s="1"/>
  <c r="A166" i="34" s="1"/>
  <c r="A167" i="34" s="1"/>
  <c r="A104" i="34"/>
  <c r="A15" i="76" l="1"/>
  <c r="A16" i="76" s="1"/>
  <c r="A17" i="76" s="1"/>
  <c r="A18" i="76" s="1"/>
  <c r="A19" i="76" s="1"/>
  <c r="A20" i="76" s="1"/>
  <c r="A21" i="76" s="1"/>
  <c r="A22" i="76" s="1"/>
  <c r="A23" i="76" s="1"/>
  <c r="A24" i="76" s="1"/>
  <c r="A25" i="76" s="1"/>
  <c r="A26" i="76" s="1"/>
  <c r="A27" i="76" s="1"/>
  <c r="A28" i="76" s="1"/>
  <c r="A14" i="68"/>
  <c r="A15" i="68" s="1"/>
  <c r="A16" i="68" s="1"/>
  <c r="A18" i="68" s="1"/>
  <c r="A19" i="68" s="1"/>
  <c r="A20" i="68" s="1"/>
  <c r="A21" i="68" s="1"/>
  <c r="A22" i="68" s="1"/>
  <c r="A23" i="68" s="1"/>
  <c r="A24" i="68" s="1"/>
  <c r="A25" i="68" s="1"/>
  <c r="A26" i="68" s="1"/>
  <c r="A27" i="68" s="1"/>
  <c r="A28" i="68" s="1"/>
  <c r="A29" i="68" s="1"/>
  <c r="A30" i="68" s="1"/>
  <c r="A31" i="68" s="1"/>
  <c r="A32" i="68" s="1"/>
  <c r="A33" i="68" s="1"/>
  <c r="A34" i="68" s="1"/>
  <c r="A36" i="68" s="1"/>
  <c r="A37" i="68" s="1"/>
  <c r="A38" i="68" s="1"/>
  <c r="A39" i="68" s="1"/>
  <c r="A40" i="68" s="1"/>
  <c r="A41" i="68" s="1"/>
  <c r="A43" i="68" s="1"/>
  <c r="A44" i="68" s="1"/>
  <c r="A45" i="68" s="1"/>
  <c r="P29" i="76"/>
  <c r="P8" i="76" s="1"/>
  <c r="O29" i="76"/>
  <c r="N29" i="76"/>
  <c r="M29" i="76"/>
  <c r="L29" i="76"/>
  <c r="N46" i="68"/>
  <c r="O46" i="68"/>
  <c r="P46" i="68"/>
  <c r="Q46" i="68"/>
  <c r="Q8" i="68" s="1"/>
  <c r="M46" i="68"/>
  <c r="A18" i="67"/>
  <c r="P8" i="60"/>
  <c r="E40" i="60"/>
  <c r="D35" i="60"/>
  <c r="E34" i="60"/>
  <c r="E38" i="60" s="1"/>
  <c r="E29" i="60"/>
  <c r="E32" i="60" s="1"/>
  <c r="D23" i="60"/>
  <c r="E22" i="60"/>
  <c r="E28" i="60" s="1"/>
  <c r="E21" i="60"/>
  <c r="E20" i="60"/>
  <c r="E17" i="60"/>
  <c r="A15" i="60"/>
  <c r="A17" i="60" s="1"/>
  <c r="A18" i="60" s="1"/>
  <c r="A19" i="60" s="1"/>
  <c r="A20" i="60" s="1"/>
  <c r="A21" i="60" s="1"/>
  <c r="A23" i="60" s="1"/>
  <c r="A24" i="60" s="1"/>
  <c r="A25" i="60" s="1"/>
  <c r="A26" i="60" s="1"/>
  <c r="A27" i="60" s="1"/>
  <c r="A28" i="60" s="1"/>
  <c r="P8" i="48"/>
  <c r="A14" i="48"/>
  <c r="A15" i="48" s="1"/>
  <c r="A16" i="48" s="1"/>
  <c r="A17" i="48" s="1"/>
  <c r="A18" i="48" s="1"/>
  <c r="A19" i="48" s="1"/>
  <c r="A20" i="48" s="1"/>
  <c r="A21" i="48" s="1"/>
  <c r="A22" i="48" s="1"/>
  <c r="A23" i="48" s="1"/>
  <c r="A24" i="48" s="1"/>
  <c r="A25" i="48" s="1"/>
  <c r="A26" i="48" s="1"/>
  <c r="A27" i="48" s="1"/>
  <c r="A28" i="48" s="1"/>
  <c r="A29" i="48" s="1"/>
  <c r="A30" i="48" s="1"/>
  <c r="A31" i="48" s="1"/>
  <c r="A32" i="48" s="1"/>
  <c r="A33" i="48" s="1"/>
  <c r="A34" i="48" s="1"/>
  <c r="A35" i="48" s="1"/>
  <c r="Q8" i="47"/>
  <c r="A14" i="47"/>
  <c r="A15" i="47" s="1"/>
  <c r="A16" i="47" s="1"/>
  <c r="A17" i="47" s="1"/>
  <c r="A18" i="47" s="1"/>
  <c r="A19" i="47" s="1"/>
  <c r="A20" i="47" s="1"/>
  <c r="A21" i="47" s="1"/>
  <c r="A22" i="47" s="1"/>
  <c r="A23" i="47" s="1"/>
  <c r="A24" i="47" s="1"/>
  <c r="A25" i="47" s="1"/>
  <c r="A26" i="47" s="1"/>
  <c r="A27" i="47" s="1"/>
  <c r="A50" i="45"/>
  <c r="A51" i="45" s="1"/>
  <c r="A52" i="45" s="1"/>
  <c r="A53" i="45" s="1"/>
  <c r="A54" i="45" s="1"/>
  <c r="A55" i="45" s="1"/>
  <c r="A56" i="45" s="1"/>
  <c r="A57" i="45" s="1"/>
  <c r="A58" i="45" s="1"/>
  <c r="N35" i="44"/>
  <c r="O35" i="44"/>
  <c r="P35" i="44"/>
  <c r="Q35" i="44"/>
  <c r="Q8" i="44" s="1"/>
  <c r="M35" i="44"/>
  <c r="A15" i="44"/>
  <c r="A16" i="44" s="1"/>
  <c r="A17" i="44" s="1"/>
  <c r="A18" i="44" s="1"/>
  <c r="A19" i="44" s="1"/>
  <c r="A20" i="44" s="1"/>
  <c r="A21" i="44" s="1"/>
  <c r="A22" i="44" s="1"/>
  <c r="A23" i="44" s="1"/>
  <c r="A24" i="44" s="1"/>
  <c r="A25" i="44" s="1"/>
  <c r="A26" i="44" s="1"/>
  <c r="A27" i="44" s="1"/>
  <c r="A28" i="44" s="1"/>
  <c r="A29" i="44" s="1"/>
  <c r="A30" i="44" s="1"/>
  <c r="A31" i="44" s="1"/>
  <c r="A32" i="44" s="1"/>
  <c r="A33" i="44" s="1"/>
  <c r="A34" i="44" s="1"/>
  <c r="N45" i="43"/>
  <c r="O45" i="43"/>
  <c r="P45" i="43"/>
  <c r="Q45" i="43"/>
  <c r="Q8" i="43" s="1"/>
  <c r="M45" i="43"/>
  <c r="A14" i="43"/>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M46" i="42"/>
  <c r="N46" i="42"/>
  <c r="O46" i="42"/>
  <c r="P46" i="42"/>
  <c r="P8" i="42" s="1"/>
  <c r="L46" i="42"/>
  <c r="A15" i="42"/>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A41" i="42" s="1"/>
  <c r="A42" i="42" s="1"/>
  <c r="A43" i="42" s="1"/>
  <c r="A44" i="42" s="1"/>
  <c r="A45" i="42" s="1"/>
  <c r="A15" i="41"/>
  <c r="A16" i="41" s="1"/>
  <c r="A17" i="41" s="1"/>
  <c r="A18" i="41" s="1"/>
  <c r="A19" i="41" s="1"/>
  <c r="A20" i="41" s="1"/>
  <c r="A21" i="41" s="1"/>
  <c r="A22" i="41" s="1"/>
  <c r="A23" i="41" s="1"/>
  <c r="A24" i="41" s="1"/>
  <c r="A25" i="41" s="1"/>
  <c r="A26" i="41" s="1"/>
  <c r="A27" i="41" s="1"/>
  <c r="A28" i="41" s="1"/>
  <c r="A29" i="41" s="1"/>
  <c r="A30" i="41" s="1"/>
  <c r="M65" i="40"/>
  <c r="N65" i="40"/>
  <c r="O65" i="40"/>
  <c r="P65" i="40"/>
  <c r="P8" i="40" s="1"/>
  <c r="L65" i="40"/>
  <c r="A15" i="40"/>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50" i="40" s="1"/>
  <c r="A51" i="40" s="1"/>
  <c r="A52" i="40" s="1"/>
  <c r="A53" i="40" s="1"/>
  <c r="A54" i="40" s="1"/>
  <c r="A55" i="40" s="1"/>
  <c r="A56" i="40" s="1"/>
  <c r="A57" i="40" s="1"/>
  <c r="A58" i="40" s="1"/>
  <c r="A59" i="40" s="1"/>
  <c r="A60" i="40" s="1"/>
  <c r="A61" i="40" s="1"/>
  <c r="A62" i="40" s="1"/>
  <c r="A63" i="40" s="1"/>
  <c r="A64" i="40" s="1"/>
  <c r="N44" i="38"/>
  <c r="O44" i="38"/>
  <c r="P44" i="38"/>
  <c r="Q44" i="38"/>
  <c r="Q8" i="38" s="1"/>
  <c r="M44" i="38"/>
  <c r="A15" i="38"/>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M187" i="37"/>
  <c r="N187" i="37"/>
  <c r="O187" i="37"/>
  <c r="P187" i="37"/>
  <c r="L187" i="37"/>
  <c r="A15" i="37"/>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9" i="37" s="1"/>
  <c r="A80" i="37" s="1"/>
  <c r="A81" i="37" s="1"/>
  <c r="A82" i="37" s="1"/>
  <c r="A83" i="37" s="1"/>
  <c r="A84" i="37" s="1"/>
  <c r="A85" i="37" s="1"/>
  <c r="A86" i="37" s="1"/>
  <c r="A87" i="37" s="1"/>
  <c r="A88" i="37" s="1"/>
  <c r="A89" i="37" s="1"/>
  <c r="A90" i="37" s="1"/>
  <c r="A91" i="37" s="1"/>
  <c r="A92" i="37" s="1"/>
  <c r="A93" i="37" s="1"/>
  <c r="A94" i="37" s="1"/>
  <c r="A95" i="37" s="1"/>
  <c r="A96" i="37" s="1"/>
  <c r="A97" i="37" s="1"/>
  <c r="A98" i="37" s="1"/>
  <c r="A99" i="37" s="1"/>
  <c r="A100" i="37" s="1"/>
  <c r="A101" i="37" s="1"/>
  <c r="A102" i="37" s="1"/>
  <c r="A103" i="37" s="1"/>
  <c r="A104" i="37" s="1"/>
  <c r="A106" i="37" s="1"/>
  <c r="A107" i="37" s="1"/>
  <c r="A108" i="37" s="1"/>
  <c r="A109" i="37" s="1"/>
  <c r="A110" i="37" s="1"/>
  <c r="A111" i="37" s="1"/>
  <c r="A112" i="37" s="1"/>
  <c r="A113" i="37" s="1"/>
  <c r="A114" i="37" s="1"/>
  <c r="A115" i="37" s="1"/>
  <c r="A116" i="37" s="1"/>
  <c r="A117" i="37" s="1"/>
  <c r="A118" i="37" s="1"/>
  <c r="A119" i="37" s="1"/>
  <c r="A120" i="37" s="1"/>
  <c r="A121" i="37" s="1"/>
  <c r="A122" i="37" s="1"/>
  <c r="A123" i="37" s="1"/>
  <c r="A124" i="37" s="1"/>
  <c r="A125" i="37" s="1"/>
  <c r="A126" i="37" s="1"/>
  <c r="A127" i="37" s="1"/>
  <c r="A128" i="37" s="1"/>
  <c r="A129" i="37" s="1"/>
  <c r="A130" i="37" s="1"/>
  <c r="A132" i="37" s="1"/>
  <c r="A133" i="37" s="1"/>
  <c r="A134" i="37" s="1"/>
  <c r="A135" i="37" s="1"/>
  <c r="A136" i="37" s="1"/>
  <c r="A137" i="37" s="1"/>
  <c r="A138" i="37" s="1"/>
  <c r="A139" i="37" s="1"/>
  <c r="A140" i="37" s="1"/>
  <c r="A141" i="37" s="1"/>
  <c r="A142" i="37" s="1"/>
  <c r="A143" i="37" s="1"/>
  <c r="A144" i="37" s="1"/>
  <c r="A145" i="37" s="1"/>
  <c r="A146" i="37" s="1"/>
  <c r="A147" i="37" s="1"/>
  <c r="A148" i="37" s="1"/>
  <c r="A149" i="37" s="1"/>
  <c r="A150" i="37" s="1"/>
  <c r="A151" i="37" s="1"/>
  <c r="A152" i="37" s="1"/>
  <c r="A153" i="37" s="1"/>
  <c r="A154" i="37" s="1"/>
  <c r="A155" i="37" s="1"/>
  <c r="A156" i="37" s="1"/>
  <c r="A158" i="37" s="1"/>
  <c r="A159" i="37" s="1"/>
  <c r="A160" i="37" s="1"/>
  <c r="A161" i="37" s="1"/>
  <c r="A162" i="37" s="1"/>
  <c r="A163" i="37" s="1"/>
  <c r="A164" i="37" s="1"/>
  <c r="A165" i="37" s="1"/>
  <c r="A166" i="37" s="1"/>
  <c r="A167" i="37" s="1"/>
  <c r="A168" i="37" s="1"/>
  <c r="A169" i="37" s="1"/>
  <c r="A170" i="37" s="1"/>
  <c r="A171" i="37" s="1"/>
  <c r="A172" i="37" s="1"/>
  <c r="A173" i="37" s="1"/>
  <c r="A174" i="37" s="1"/>
  <c r="A175" i="37" s="1"/>
  <c r="A176" i="37" s="1"/>
  <c r="A177" i="37" s="1"/>
  <c r="A178" i="37" s="1"/>
  <c r="A179" i="37" s="1"/>
  <c r="A180" i="37" s="1"/>
  <c r="A181" i="37" s="1"/>
  <c r="A183" i="37" s="1"/>
  <c r="A184" i="37" s="1"/>
  <c r="A185" i="37" s="1"/>
  <c r="A186" i="37" s="1"/>
  <c r="N13" i="37"/>
  <c r="M13" i="37"/>
  <c r="P13" i="37" s="1"/>
  <c r="L13" i="37"/>
  <c r="J13" i="37"/>
  <c r="O13" i="37" s="1"/>
  <c r="E25" i="60" l="1"/>
  <c r="E37" i="60"/>
  <c r="E33" i="60"/>
  <c r="A35" i="60"/>
  <c r="A36" i="60" s="1"/>
  <c r="A37" i="60" s="1"/>
  <c r="A38" i="60" s="1"/>
  <c r="A40" i="60" s="1"/>
  <c r="A41" i="60" s="1"/>
  <c r="A42" i="60" s="1"/>
  <c r="A43" i="60" s="1"/>
  <c r="A45" i="60" s="1"/>
  <c r="A47" i="60" s="1"/>
  <c r="A48" i="60" s="1"/>
  <c r="A49" i="60" s="1"/>
  <c r="A50" i="60" s="1"/>
  <c r="A51" i="60" s="1"/>
  <c r="A52" i="60" s="1"/>
  <c r="A30" i="60"/>
  <c r="A31" i="60" s="1"/>
  <c r="A32" i="60" s="1"/>
  <c r="A33" i="60" s="1"/>
  <c r="E30" i="60"/>
  <c r="E31" i="60"/>
  <c r="E35" i="60"/>
  <c r="E23" i="60"/>
  <c r="E26" i="60" s="1"/>
  <c r="E27" i="60"/>
  <c r="E36" i="60"/>
  <c r="E24" i="60"/>
  <c r="K13" i="37"/>
  <c r="N142" i="36"/>
  <c r="O142" i="36"/>
  <c r="P142" i="36"/>
  <c r="Q142" i="36"/>
  <c r="Q8" i="36" s="1"/>
  <c r="M142" i="36"/>
  <c r="A14" i="36"/>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41" i="36" s="1"/>
  <c r="A42" i="36" s="1"/>
  <c r="A43" i="36" s="1"/>
  <c r="A44" i="36" s="1"/>
  <c r="A45" i="36" s="1"/>
  <c r="A46" i="36" s="1"/>
  <c r="A47" i="36" s="1"/>
  <c r="A48" i="36" s="1"/>
  <c r="A49" i="36" s="1"/>
  <c r="A50" i="36" s="1"/>
  <c r="A52" i="36" s="1"/>
  <c r="A53" i="36" s="1"/>
  <c r="A54" i="36" s="1"/>
  <c r="A55" i="36" s="1"/>
  <c r="A56" i="36" s="1"/>
  <c r="A57" i="36" s="1"/>
  <c r="A58" i="36" s="1"/>
  <c r="A59" i="36" s="1"/>
  <c r="A60" i="36" s="1"/>
  <c r="A61" i="36" s="1"/>
  <c r="A62" i="36" s="1"/>
  <c r="A63" i="36" s="1"/>
  <c r="A65" i="36" s="1"/>
  <c r="A66" i="36" s="1"/>
  <c r="A67" i="36" s="1"/>
  <c r="A68" i="36" s="1"/>
  <c r="A69" i="36" s="1"/>
  <c r="A70" i="36" s="1"/>
  <c r="A71" i="36" s="1"/>
  <c r="A72" i="36" s="1"/>
  <c r="A73" i="36" s="1"/>
  <c r="A74" i="36" s="1"/>
  <c r="A75" i="36" s="1"/>
  <c r="A76" i="36" s="1"/>
  <c r="A77" i="36" s="1"/>
  <c r="A78" i="36" s="1"/>
  <c r="A79" i="36" s="1"/>
  <c r="A80" i="36" s="1"/>
  <c r="A81" i="36" s="1"/>
  <c r="A82" i="36" s="1"/>
  <c r="A83" i="36" s="1"/>
  <c r="A84" i="36" s="1"/>
  <c r="A86" i="36" s="1"/>
  <c r="A87" i="36" s="1"/>
  <c r="A88" i="36" s="1"/>
  <c r="A89" i="36" s="1"/>
  <c r="A90" i="36" s="1"/>
  <c r="A91" i="36" s="1"/>
  <c r="A92" i="36" s="1"/>
  <c r="A93" i="36" s="1"/>
  <c r="A94" i="36" s="1"/>
  <c r="A95" i="36" s="1"/>
  <c r="A97" i="36" s="1"/>
  <c r="A98" i="36" s="1"/>
  <c r="A99" i="36" s="1"/>
  <c r="A100" i="36" s="1"/>
  <c r="A101" i="36" s="1"/>
  <c r="A102" i="36" s="1"/>
  <c r="A103" i="36" s="1"/>
  <c r="A104" i="36" s="1"/>
  <c r="A105" i="36" s="1"/>
  <c r="A106" i="36" s="1"/>
  <c r="A107" i="36" s="1"/>
  <c r="A108" i="36" s="1"/>
  <c r="A109"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133" i="36" s="1"/>
  <c r="A134" i="36" s="1"/>
  <c r="A136" i="36" s="1"/>
  <c r="A138" i="36" s="1"/>
  <c r="A139" i="36" s="1"/>
  <c r="A140" i="36" s="1"/>
  <c r="A141" i="36" s="1"/>
  <c r="N606" i="35"/>
  <c r="O606" i="35"/>
  <c r="P606" i="35"/>
  <c r="Q606" i="35"/>
  <c r="Q8" i="35" s="1"/>
  <c r="M606" i="35"/>
  <c r="A15" i="35"/>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A53" i="35" s="1"/>
  <c r="A54" i="35" s="1"/>
  <c r="A55" i="35" s="1"/>
  <c r="A56" i="35" s="1"/>
  <c r="A57" i="35" s="1"/>
  <c r="A58" i="35" s="1"/>
  <c r="A59" i="35" s="1"/>
  <c r="A60" i="35" s="1"/>
  <c r="A61" i="35" s="1"/>
  <c r="A62" i="35" s="1"/>
  <c r="A63" i="35" s="1"/>
  <c r="A64" i="35" s="1"/>
  <c r="A65" i="35" s="1"/>
  <c r="A66" i="35" s="1"/>
  <c r="A67" i="35" s="1"/>
  <c r="A68" i="35" s="1"/>
  <c r="A69" i="35" s="1"/>
  <c r="A70" i="35" s="1"/>
  <c r="A71" i="35" s="1"/>
  <c r="A72" i="35" s="1"/>
  <c r="A73" i="35" s="1"/>
  <c r="A74" i="35" s="1"/>
  <c r="A75" i="35" s="1"/>
  <c r="A76" i="35" s="1"/>
  <c r="A77" i="35" s="1"/>
  <c r="A78" i="35" s="1"/>
  <c r="A79" i="35" s="1"/>
  <c r="A81" i="35" s="1"/>
  <c r="A82" i="35" s="1"/>
  <c r="A83" i="35" s="1"/>
  <c r="A84" i="35" s="1"/>
  <c r="A85" i="35" s="1"/>
  <c r="A86" i="35" s="1"/>
  <c r="A87" i="35" s="1"/>
  <c r="A88" i="35" s="1"/>
  <c r="A89" i="35" s="1"/>
  <c r="A90" i="35" s="1"/>
  <c r="A91" i="35" s="1"/>
  <c r="A92" i="35" s="1"/>
  <c r="A93" i="35" s="1"/>
  <c r="A94" i="35" s="1"/>
  <c r="A95" i="35" s="1"/>
  <c r="A96" i="35" s="1"/>
  <c r="A97" i="35" s="1"/>
  <c r="A98" i="35" s="1"/>
  <c r="A99" i="35" s="1"/>
  <c r="A100" i="35" s="1"/>
  <c r="A101" i="35" s="1"/>
  <c r="A102" i="35" s="1"/>
  <c r="A103" i="35" s="1"/>
  <c r="A104" i="35" s="1"/>
  <c r="A105" i="35" s="1"/>
  <c r="A106" i="35" s="1"/>
  <c r="A107" i="35" s="1"/>
  <c r="A108" i="35" s="1"/>
  <c r="A109" i="35" s="1"/>
  <c r="A110" i="35" s="1"/>
  <c r="A111" i="35" s="1"/>
  <c r="A112" i="35" s="1"/>
  <c r="A113" i="35" s="1"/>
  <c r="A114" i="35" s="1"/>
  <c r="A115" i="35" s="1"/>
  <c r="A116" i="35" s="1"/>
  <c r="A117" i="35" s="1"/>
  <c r="A118" i="35" s="1"/>
  <c r="A120" i="35" s="1"/>
  <c r="A121" i="35" s="1"/>
  <c r="A122" i="35" s="1"/>
  <c r="A123" i="35" s="1"/>
  <c r="A124" i="35" s="1"/>
  <c r="A125" i="35" s="1"/>
  <c r="A126" i="35" s="1"/>
  <c r="A127" i="35" s="1"/>
  <c r="A128" i="35" s="1"/>
  <c r="A129" i="35" s="1"/>
  <c r="A130" i="35" s="1"/>
  <c r="A131" i="35" s="1"/>
  <c r="A132" i="35" s="1"/>
  <c r="A133" i="35" s="1"/>
  <c r="A134" i="35" s="1"/>
  <c r="A135" i="35" s="1"/>
  <c r="A136" i="35" s="1"/>
  <c r="A137" i="35" s="1"/>
  <c r="A138" i="35" s="1"/>
  <c r="A139" i="35" s="1"/>
  <c r="A140" i="35" s="1"/>
  <c r="A141" i="35" s="1"/>
  <c r="A142" i="35" s="1"/>
  <c r="A144" i="35" s="1"/>
  <c r="A145" i="35" s="1"/>
  <c r="A146" i="35" s="1"/>
  <c r="A147" i="35" s="1"/>
  <c r="A148" i="35" s="1"/>
  <c r="A149" i="35" s="1"/>
  <c r="A150" i="35" s="1"/>
  <c r="A151" i="35" s="1"/>
  <c r="A152" i="35" s="1"/>
  <c r="A153" i="35" s="1"/>
  <c r="A155" i="35" s="1"/>
  <c r="A156" i="35" s="1"/>
  <c r="A157" i="35" s="1"/>
  <c r="A158" i="35" s="1"/>
  <c r="A159" i="35" s="1"/>
  <c r="A160" i="35" s="1"/>
  <c r="A163" i="35" s="1"/>
  <c r="A164" i="35" s="1"/>
  <c r="A165" i="35" s="1"/>
  <c r="A166" i="35" s="1"/>
  <c r="A167" i="35" s="1"/>
  <c r="A168" i="35" s="1"/>
  <c r="A169" i="35" s="1"/>
  <c r="A170" i="35" s="1"/>
  <c r="A171" i="35" s="1"/>
  <c r="A172" i="35" s="1"/>
  <c r="A173" i="35" s="1"/>
  <c r="A174" i="35" s="1"/>
  <c r="A175" i="35" s="1"/>
  <c r="A176" i="35" s="1"/>
  <c r="A177" i="35" s="1"/>
  <c r="A178" i="35" s="1"/>
  <c r="A179" i="35" s="1"/>
  <c r="A180" i="35" s="1"/>
  <c r="A181" i="35" s="1"/>
  <c r="A182" i="35" s="1"/>
  <c r="A183" i="35" s="1"/>
  <c r="A184" i="35" s="1"/>
  <c r="A185" i="35" s="1"/>
  <c r="A186" i="35" s="1"/>
  <c r="A187" i="35" s="1"/>
  <c r="A188" i="35" s="1"/>
  <c r="A189" i="35" s="1"/>
  <c r="A190" i="35" s="1"/>
  <c r="A191" i="35" s="1"/>
  <c r="A192" i="35" s="1"/>
  <c r="A193" i="35" s="1"/>
  <c r="A194" i="35" s="1"/>
  <c r="A195" i="35" s="1"/>
  <c r="A196" i="35" s="1"/>
  <c r="A197" i="35" s="1"/>
  <c r="A198" i="35" s="1"/>
  <c r="A199" i="35" s="1"/>
  <c r="A200" i="35" s="1"/>
  <c r="A201" i="35" s="1"/>
  <c r="A202" i="35" s="1"/>
  <c r="A203" i="35" s="1"/>
  <c r="A204" i="35" s="1"/>
  <c r="A205" i="35" s="1"/>
  <c r="A206" i="35" s="1"/>
  <c r="A208" i="35" s="1"/>
  <c r="A209" i="35" s="1"/>
  <c r="A210" i="35" s="1"/>
  <c r="A211" i="35" s="1"/>
  <c r="A212" i="35" s="1"/>
  <c r="A213" i="35" s="1"/>
  <c r="A214" i="35" s="1"/>
  <c r="A215" i="35" s="1"/>
  <c r="A216" i="35" s="1"/>
  <c r="A217" i="35" s="1"/>
  <c r="A218" i="35" s="1"/>
  <c r="A219" i="35" s="1"/>
  <c r="A220" i="35" s="1"/>
  <c r="A221" i="35" s="1"/>
  <c r="A222" i="35" s="1"/>
  <c r="A223" i="35" s="1"/>
  <c r="A224" i="35" s="1"/>
  <c r="A225" i="35" s="1"/>
  <c r="A226" i="35" s="1"/>
  <c r="A227" i="35" s="1"/>
  <c r="A228" i="35" s="1"/>
  <c r="A229" i="35" s="1"/>
  <c r="A230" i="35" s="1"/>
  <c r="A231" i="35" s="1"/>
  <c r="A232" i="35" s="1"/>
  <c r="A233" i="35" s="1"/>
  <c r="A234" i="35" s="1"/>
  <c r="A235" i="35" s="1"/>
  <c r="A236" i="35" s="1"/>
  <c r="A237" i="35" s="1"/>
  <c r="A238" i="35" s="1"/>
  <c r="A239" i="35" s="1"/>
  <c r="A240" i="35" s="1"/>
  <c r="A241" i="35" s="1"/>
  <c r="A242" i="35" s="1"/>
  <c r="A243" i="35" s="1"/>
  <c r="A244" i="35" s="1"/>
  <c r="A245" i="35" s="1"/>
  <c r="A246" i="35" s="1"/>
  <c r="A247" i="35" s="1"/>
  <c r="A248" i="35" s="1"/>
  <c r="A249" i="35" s="1"/>
  <c r="A250" i="35" s="1"/>
  <c r="A251" i="35" s="1"/>
  <c r="A252" i="35" s="1"/>
  <c r="A253" i="35" s="1"/>
  <c r="A254" i="35" s="1"/>
  <c r="A255" i="35" s="1"/>
  <c r="A256" i="35" s="1"/>
  <c r="A257" i="35" s="1"/>
  <c r="A259" i="35" s="1"/>
  <c r="A260" i="35" s="1"/>
  <c r="A261" i="35" s="1"/>
  <c r="A262" i="35" s="1"/>
  <c r="A263" i="35" s="1"/>
  <c r="A264" i="35" s="1"/>
  <c r="A265" i="35" s="1"/>
  <c r="A266" i="35" s="1"/>
  <c r="A267" i="35" s="1"/>
  <c r="A268" i="35" s="1"/>
  <c r="A269" i="35" s="1"/>
  <c r="A270" i="35" s="1"/>
  <c r="A271" i="35" s="1"/>
  <c r="A272" i="35" s="1"/>
  <c r="A273" i="35" s="1"/>
  <c r="A274" i="35" s="1"/>
  <c r="A275" i="35" s="1"/>
  <c r="A276" i="35" s="1"/>
  <c r="A277" i="35" s="1"/>
  <c r="A278" i="35" s="1"/>
  <c r="A279" i="35" s="1"/>
  <c r="A280" i="35" s="1"/>
  <c r="A281" i="35" s="1"/>
  <c r="A282" i="35" s="1"/>
  <c r="A283" i="35" s="1"/>
  <c r="A284" i="35" s="1"/>
  <c r="A285" i="35" s="1"/>
  <c r="A286" i="35" s="1"/>
  <c r="A287" i="35" s="1"/>
  <c r="A288" i="35" s="1"/>
  <c r="A289" i="35" s="1"/>
  <c r="A290" i="35" s="1"/>
  <c r="A291" i="35" s="1"/>
  <c r="A292" i="35" s="1"/>
  <c r="A293" i="35" s="1"/>
  <c r="A294" i="35" s="1"/>
  <c r="A295" i="35" s="1"/>
  <c r="A296" i="35" s="1"/>
  <c r="A297" i="35" s="1"/>
  <c r="A298" i="35" s="1"/>
  <c r="A299" i="35" s="1"/>
  <c r="A300" i="35" s="1"/>
  <c r="A301" i="35" s="1"/>
  <c r="A302" i="35" s="1"/>
  <c r="A303" i="35" s="1"/>
  <c r="A304" i="35" s="1"/>
  <c r="A305" i="35" s="1"/>
  <c r="A306" i="35" s="1"/>
  <c r="A307" i="35" s="1"/>
  <c r="A308" i="35" s="1"/>
  <c r="A309" i="35" s="1"/>
  <c r="A310" i="35" s="1"/>
  <c r="A311" i="35" s="1"/>
  <c r="A313" i="35" s="1"/>
  <c r="A314" i="35" s="1"/>
  <c r="A315" i="35" s="1"/>
  <c r="A316" i="35" s="1"/>
  <c r="A317" i="35" s="1"/>
  <c r="A318" i="35" s="1"/>
  <c r="A319" i="35" s="1"/>
  <c r="A320" i="35" s="1"/>
  <c r="A321" i="35" s="1"/>
  <c r="A322" i="35" s="1"/>
  <c r="A323" i="35" s="1"/>
  <c r="A324" i="35" s="1"/>
  <c r="A325" i="35" s="1"/>
  <c r="A326" i="35" s="1"/>
  <c r="A327" i="35" s="1"/>
  <c r="A328" i="35" s="1"/>
  <c r="A329" i="35" s="1"/>
  <c r="A330" i="35" s="1"/>
  <c r="A331" i="35" s="1"/>
  <c r="A332" i="35" s="1"/>
  <c r="A333" i="35" s="1"/>
  <c r="A334" i="35" s="1"/>
  <c r="A335" i="35" s="1"/>
  <c r="A336" i="35" s="1"/>
  <c r="A337" i="35" s="1"/>
  <c r="A338" i="35" s="1"/>
  <c r="A339" i="35" s="1"/>
  <c r="A340" i="35" s="1"/>
  <c r="A341" i="35" s="1"/>
  <c r="A342" i="35" s="1"/>
  <c r="A343" i="35" s="1"/>
  <c r="A344" i="35" s="1"/>
  <c r="A345" i="35" s="1"/>
  <c r="A346" i="35" s="1"/>
  <c r="A347" i="35" s="1"/>
  <c r="A348" i="35" s="1"/>
  <c r="A349" i="35" s="1"/>
  <c r="A350" i="35" s="1"/>
  <c r="A351" i="35" s="1"/>
  <c r="A352" i="35" s="1"/>
  <c r="A353" i="35" s="1"/>
  <c r="A354" i="35" s="1"/>
  <c r="A355" i="35" s="1"/>
  <c r="A356" i="35" s="1"/>
  <c r="A357" i="35" s="1"/>
  <c r="A358" i="35" s="1"/>
  <c r="A359" i="35" s="1"/>
  <c r="A360" i="35" s="1"/>
  <c r="A361" i="35" s="1"/>
  <c r="A362" i="35" s="1"/>
  <c r="A363" i="35" s="1"/>
  <c r="A364" i="35" s="1"/>
  <c r="A365" i="35" s="1"/>
  <c r="A366" i="35" s="1"/>
  <c r="A367" i="35" s="1"/>
  <c r="A368" i="35" s="1"/>
  <c r="A369" i="35" s="1"/>
  <c r="A370" i="35" s="1"/>
  <c r="A371" i="35" s="1"/>
  <c r="A372" i="35" s="1"/>
  <c r="A373" i="35" s="1"/>
  <c r="A374" i="35" s="1"/>
  <c r="A375" i="35" s="1"/>
  <c r="A376" i="35" s="1"/>
  <c r="A377" i="35" s="1"/>
  <c r="A378" i="35" s="1"/>
  <c r="A380" i="35" s="1"/>
  <c r="A381" i="35" s="1"/>
  <c r="A382" i="35" s="1"/>
  <c r="A383" i="35" s="1"/>
  <c r="A384" i="35" s="1"/>
  <c r="A385" i="35" s="1"/>
  <c r="A386" i="35" s="1"/>
  <c r="A387" i="35" s="1"/>
  <c r="A388" i="35" s="1"/>
  <c r="A389" i="35" s="1"/>
  <c r="A390" i="35" s="1"/>
  <c r="A391" i="35" s="1"/>
  <c r="A392" i="35" s="1"/>
  <c r="A393" i="35" s="1"/>
  <c r="A394" i="35" s="1"/>
  <c r="A395" i="35" s="1"/>
  <c r="A396" i="35" s="1"/>
  <c r="A397" i="35" s="1"/>
  <c r="A398" i="35" s="1"/>
  <c r="A399" i="35" s="1"/>
  <c r="A400" i="35" s="1"/>
  <c r="A401" i="35" s="1"/>
  <c r="A402" i="35" s="1"/>
  <c r="A403" i="35" s="1"/>
  <c r="A404" i="35" s="1"/>
  <c r="A405" i="35" s="1"/>
  <c r="A406" i="35" s="1"/>
  <c r="A407" i="35" s="1"/>
  <c r="A408" i="35" s="1"/>
  <c r="A409" i="35" s="1"/>
  <c r="A410" i="35" s="1"/>
  <c r="A411" i="35" s="1"/>
  <c r="A412" i="35" s="1"/>
  <c r="A413" i="35" s="1"/>
  <c r="A414" i="35" s="1"/>
  <c r="A415" i="35" s="1"/>
  <c r="A416" i="35" s="1"/>
  <c r="A417" i="35" s="1"/>
  <c r="A418" i="35" s="1"/>
  <c r="A419" i="35" s="1"/>
  <c r="A420" i="35" s="1"/>
  <c r="A421" i="35" s="1"/>
  <c r="A422" i="35" s="1"/>
  <c r="A423" i="35" s="1"/>
  <c r="A424" i="35" s="1"/>
  <c r="A425" i="35" s="1"/>
  <c r="A426" i="35" s="1"/>
  <c r="A427" i="35" s="1"/>
  <c r="A428" i="35" s="1"/>
  <c r="A430" i="35" s="1"/>
  <c r="A431" i="35" s="1"/>
  <c r="A432" i="35" s="1"/>
  <c r="A433" i="35" s="1"/>
  <c r="A434" i="35" s="1"/>
  <c r="A435" i="35" s="1"/>
  <c r="A436" i="35" s="1"/>
  <c r="A437" i="35" s="1"/>
  <c r="A438" i="35" s="1"/>
  <c r="A439" i="35" s="1"/>
  <c r="A440" i="35" s="1"/>
  <c r="A441" i="35" s="1"/>
  <c r="A442" i="35" s="1"/>
  <c r="A443" i="35" s="1"/>
  <c r="A444" i="35" s="1"/>
  <c r="A445" i="35" s="1"/>
  <c r="A446" i="35" s="1"/>
  <c r="A447" i="35" s="1"/>
  <c r="A448" i="35" s="1"/>
  <c r="A450" i="35" s="1"/>
  <c r="A451" i="35" s="1"/>
  <c r="A452" i="35" s="1"/>
  <c r="A453" i="35" s="1"/>
  <c r="A454" i="35" s="1"/>
  <c r="A455" i="35" s="1"/>
  <c r="A456" i="35" s="1"/>
  <c r="A457" i="35" s="1"/>
  <c r="A458" i="35" s="1"/>
  <c r="A459" i="35" s="1"/>
  <c r="A460" i="35" s="1"/>
  <c r="A461" i="35" s="1"/>
  <c r="A462" i="35" s="1"/>
  <c r="A463" i="35" s="1"/>
  <c r="A464" i="35" s="1"/>
  <c r="A465" i="35" s="1"/>
  <c r="A466" i="35" s="1"/>
  <c r="A467" i="35" s="1"/>
  <c r="A468" i="35" s="1"/>
  <c r="A469" i="35" s="1"/>
  <c r="A470" i="35" s="1"/>
  <c r="A471" i="35" s="1"/>
  <c r="A473" i="35" s="1"/>
  <c r="A474" i="35" s="1"/>
  <c r="A475" i="35" s="1"/>
  <c r="A476" i="35" s="1"/>
  <c r="A477" i="35" s="1"/>
  <c r="A478" i="35" s="1"/>
  <c r="A479" i="35" s="1"/>
  <c r="A480" i="35" s="1"/>
  <c r="A481" i="35" s="1"/>
  <c r="A482" i="35" s="1"/>
  <c r="A483" i="35" s="1"/>
  <c r="A484" i="35" s="1"/>
  <c r="A485" i="35" s="1"/>
  <c r="A486" i="35" s="1"/>
  <c r="A487" i="35" s="1"/>
  <c r="A488" i="35" s="1"/>
  <c r="A489" i="35" s="1"/>
  <c r="A490" i="35" s="1"/>
  <c r="A491" i="35" s="1"/>
  <c r="A493" i="35" s="1"/>
  <c r="A494" i="35" s="1"/>
  <c r="A495" i="35" s="1"/>
  <c r="A496" i="35" s="1"/>
  <c r="A497" i="35" s="1"/>
  <c r="A498" i="35" s="1"/>
  <c r="A499" i="35" s="1"/>
  <c r="A500" i="35" s="1"/>
  <c r="A501" i="35" s="1"/>
  <c r="A502" i="35" s="1"/>
  <c r="A503" i="35" s="1"/>
  <c r="A504" i="35" s="1"/>
  <c r="A505" i="35" s="1"/>
  <c r="A507" i="35" s="1"/>
  <c r="A508" i="35" s="1"/>
  <c r="A509" i="35" s="1"/>
  <c r="A510" i="35" s="1"/>
  <c r="A511" i="35" s="1"/>
  <c r="A512" i="35" s="1"/>
  <c r="A513" i="35" s="1"/>
  <c r="A514" i="35" s="1"/>
  <c r="A515" i="35" s="1"/>
  <c r="A516" i="35" s="1"/>
  <c r="A517" i="35" s="1"/>
  <c r="A518" i="35" s="1"/>
  <c r="A519" i="35" s="1"/>
  <c r="A521" i="35" s="1"/>
  <c r="A522" i="35" s="1"/>
  <c r="A523" i="35" s="1"/>
  <c r="A524" i="35" s="1"/>
  <c r="A525" i="35" s="1"/>
  <c r="A526" i="35" s="1"/>
  <c r="A527" i="35" s="1"/>
  <c r="A528" i="35" s="1"/>
  <c r="A529" i="35" s="1"/>
  <c r="A530" i="35" s="1"/>
  <c r="A531" i="35" s="1"/>
  <c r="A532" i="35" s="1"/>
  <c r="A533" i="35" s="1"/>
  <c r="A535" i="35" s="1"/>
  <c r="A536" i="35" s="1"/>
  <c r="A537" i="35" s="1"/>
  <c r="A538" i="35" s="1"/>
  <c r="A539" i="35" s="1"/>
  <c r="A540" i="35" s="1"/>
  <c r="A541" i="35" s="1"/>
  <c r="A542" i="35" s="1"/>
  <c r="A543" i="35" s="1"/>
  <c r="A544" i="35" s="1"/>
  <c r="A545" i="35" s="1"/>
  <c r="A546" i="35" s="1"/>
  <c r="A548" i="35" s="1"/>
  <c r="A549" i="35" s="1"/>
  <c r="A550" i="35" s="1"/>
  <c r="A551" i="35" s="1"/>
  <c r="A552" i="35" s="1"/>
  <c r="A553" i="35" s="1"/>
  <c r="A554" i="35" s="1"/>
  <c r="A555" i="35" s="1"/>
  <c r="A556" i="35" s="1"/>
  <c r="A557" i="35" s="1"/>
  <c r="A558" i="35" s="1"/>
  <c r="A559" i="35" s="1"/>
  <c r="A562" i="35" s="1"/>
  <c r="A563" i="35" s="1"/>
  <c r="A564" i="35" s="1"/>
  <c r="A565" i="35" s="1"/>
  <c r="A566" i="35" s="1"/>
  <c r="A567" i="35" s="1"/>
  <c r="A568" i="35" s="1"/>
  <c r="A569" i="35" s="1"/>
  <c r="A570" i="35" s="1"/>
  <c r="A571" i="35" s="1"/>
  <c r="A572" i="35" s="1"/>
  <c r="A573" i="35" s="1"/>
  <c r="A574" i="35" s="1"/>
  <c r="A576" i="35" s="1"/>
  <c r="A577" i="35" s="1"/>
  <c r="A578" i="35" s="1"/>
  <c r="A579" i="35" s="1"/>
  <c r="A580" i="35" s="1"/>
  <c r="A581" i="35" s="1"/>
  <c r="A582" i="35" s="1"/>
  <c r="A583" i="35" s="1"/>
  <c r="A584" i="35" s="1"/>
  <c r="A585" i="35" s="1"/>
  <c r="A586" i="35" s="1"/>
  <c r="A587" i="35" s="1"/>
  <c r="A588" i="35" s="1"/>
  <c r="A590" i="35" s="1"/>
  <c r="A591" i="35" s="1"/>
  <c r="A592" i="35" s="1"/>
  <c r="A593" i="35" s="1"/>
  <c r="A594" i="35" s="1"/>
  <c r="A595" i="35" s="1"/>
  <c r="A596" i="35" s="1"/>
  <c r="A598" i="35" s="1"/>
  <c r="A599" i="35" s="1"/>
  <c r="A600" i="35" s="1"/>
  <c r="A601" i="35" s="1"/>
  <c r="A602" i="35" s="1"/>
  <c r="A603" i="35" s="1"/>
  <c r="A605" i="35" s="1"/>
  <c r="M168" i="34"/>
  <c r="N168" i="34"/>
  <c r="O168" i="34"/>
  <c r="P168" i="34"/>
  <c r="P8" i="34" s="1"/>
  <c r="L168" i="34"/>
  <c r="E35" i="22"/>
  <c r="A19" i="33"/>
  <c r="A20" i="33" s="1"/>
  <c r="A21" i="33" s="1"/>
  <c r="A22" i="33" s="1"/>
  <c r="A23" i="33" s="1"/>
  <c r="A24" i="33" s="1"/>
  <c r="A25" i="33" s="1"/>
  <c r="A26" i="33" s="1"/>
  <c r="A27" i="33" s="1"/>
  <c r="A28" i="33" s="1"/>
  <c r="A29" i="33" s="1"/>
  <c r="A18" i="33"/>
  <c r="M78" i="18"/>
  <c r="N78" i="18"/>
  <c r="O78" i="18"/>
  <c r="P78" i="18"/>
  <c r="L78" i="18"/>
  <c r="A15" i="75"/>
  <c r="A16" i="75" s="1"/>
  <c r="A17" i="75" s="1"/>
  <c r="A18" i="75" s="1"/>
  <c r="A19" i="75" s="1"/>
  <c r="A20" i="75" s="1"/>
  <c r="A21" i="75" s="1"/>
  <c r="A22" i="75" s="1"/>
  <c r="A23" i="75" s="1"/>
  <c r="A24" i="75" s="1"/>
  <c r="A25" i="75" s="1"/>
  <c r="A26" i="75" s="1"/>
  <c r="A27" i="75" s="1"/>
  <c r="A29" i="75" s="1"/>
  <c r="A30" i="75" s="1"/>
  <c r="A31" i="75" s="1"/>
  <c r="A32" i="75" s="1"/>
  <c r="A34" i="75" s="1"/>
  <c r="A35" i="75" s="1"/>
  <c r="A36" i="75" s="1"/>
  <c r="A37" i="75" s="1"/>
  <c r="A38" i="75" s="1"/>
  <c r="A39" i="75" s="1"/>
  <c r="A40" i="75" s="1"/>
  <c r="A41" i="75" s="1"/>
  <c r="A42" i="75" s="1"/>
  <c r="A43" i="75" s="1"/>
  <c r="A44" i="75" s="1"/>
  <c r="A46" i="75" s="1"/>
  <c r="A47" i="75" s="1"/>
  <c r="A29" i="74"/>
  <c r="A30" i="74" s="1"/>
  <c r="A15" i="74"/>
  <c r="A16" i="74" s="1"/>
  <c r="A17" i="74" s="1"/>
  <c r="A18" i="74" s="1"/>
  <c r="A19" i="74" s="1"/>
  <c r="A20" i="74" s="1"/>
  <c r="A21" i="74" s="1"/>
  <c r="A22" i="74" s="1"/>
  <c r="A23" i="74" s="1"/>
  <c r="A24" i="74" s="1"/>
  <c r="A25" i="74" s="1"/>
  <c r="A26" i="74" s="1"/>
  <c r="A28" i="74" s="1"/>
  <c r="A14" i="73" l="1"/>
  <c r="P122" i="54"/>
  <c r="P8" i="54" s="1"/>
  <c r="O122" i="54"/>
  <c r="N122" i="54"/>
  <c r="M122" i="54"/>
  <c r="L122" i="54"/>
  <c r="E121" i="54"/>
  <c r="E120" i="54"/>
  <c r="E119" i="54"/>
  <c r="E118" i="54"/>
  <c r="E117" i="54"/>
  <c r="E116" i="54"/>
  <c r="E115" i="54"/>
  <c r="E103" i="54"/>
  <c r="E98" i="54"/>
  <c r="E97" i="54"/>
  <c r="E94" i="54"/>
  <c r="E92" i="54"/>
  <c r="E83" i="54"/>
  <c r="E79" i="54"/>
  <c r="E78" i="54"/>
  <c r="E77" i="54"/>
  <c r="E76" i="54"/>
  <c r="E74" i="54"/>
  <c r="E72" i="54"/>
  <c r="E71" i="54"/>
  <c r="E68" i="54"/>
  <c r="E67" i="54"/>
  <c r="E66" i="54"/>
  <c r="E65" i="54"/>
  <c r="E64" i="54"/>
  <c r="E43" i="54"/>
  <c r="E42" i="54"/>
  <c r="E40" i="54"/>
  <c r="E39" i="54"/>
  <c r="E38" i="54"/>
  <c r="E37" i="54"/>
  <c r="E34" i="54"/>
  <c r="E33" i="54"/>
  <c r="E32" i="54"/>
  <c r="E31" i="54"/>
  <c r="E30" i="54"/>
  <c r="E29" i="54"/>
  <c r="E28" i="54"/>
  <c r="E27" i="54"/>
  <c r="E24" i="54"/>
  <c r="E23" i="54"/>
  <c r="E22" i="54"/>
  <c r="E18" i="54"/>
  <c r="E17" i="54"/>
  <c r="E16" i="54"/>
  <c r="A16" i="54"/>
  <c r="A17" i="54" s="1"/>
  <c r="A18" i="54" s="1"/>
  <c r="A19" i="54" s="1"/>
  <c r="A20" i="54" s="1"/>
  <c r="A22" i="54" s="1"/>
  <c r="A23" i="54" s="1"/>
  <c r="A24" i="54" s="1"/>
  <c r="A26" i="54" s="1"/>
  <c r="A27" i="54" s="1"/>
  <c r="A28" i="54" s="1"/>
  <c r="A29" i="54" s="1"/>
  <c r="A30" i="54" s="1"/>
  <c r="A31" i="54" s="1"/>
  <c r="A32" i="54" s="1"/>
  <c r="A33" i="54" s="1"/>
  <c r="A34" i="54" s="1"/>
  <c r="A37" i="54" s="1"/>
  <c r="A38" i="54" s="1"/>
  <c r="A39" i="54" s="1"/>
  <c r="A40" i="54" s="1"/>
  <c r="A41" i="54" s="1"/>
  <c r="A42" i="54" s="1"/>
  <c r="A43" i="54" s="1"/>
  <c r="A45" i="54" s="1"/>
  <c r="A46" i="54" s="1"/>
  <c r="A47" i="54" s="1"/>
  <c r="A48" i="54" s="1"/>
  <c r="A49" i="54" s="1"/>
  <c r="A50" i="54" s="1"/>
  <c r="A52" i="54" s="1"/>
  <c r="A53" i="54" s="1"/>
  <c r="A54" i="54" s="1"/>
  <c r="A55" i="54" s="1"/>
  <c r="A56" i="54" s="1"/>
  <c r="A57" i="54" s="1"/>
  <c r="A58" i="54" s="1"/>
  <c r="A59" i="54" s="1"/>
  <c r="A60" i="54" s="1"/>
  <c r="A61" i="54" s="1"/>
  <c r="A64" i="54" s="1"/>
  <c r="A65" i="54" s="1"/>
  <c r="A66" i="54" s="1"/>
  <c r="A67" i="54" s="1"/>
  <c r="A68" i="54" s="1"/>
  <c r="A70" i="54" s="1"/>
  <c r="A71" i="54" s="1"/>
  <c r="A72" i="54" s="1"/>
  <c r="A73" i="54" s="1"/>
  <c r="A74" i="54" s="1"/>
  <c r="A76" i="54" s="1"/>
  <c r="A77" i="54" s="1"/>
  <c r="A78" i="54" s="1"/>
  <c r="A79" i="54" s="1"/>
  <c r="A80" i="54" s="1"/>
  <c r="A83" i="54" s="1"/>
  <c r="A84" i="54" s="1"/>
  <c r="A85" i="54" s="1"/>
  <c r="A86" i="54" s="1"/>
  <c r="A87" i="54" s="1"/>
  <c r="A89" i="54" s="1"/>
  <c r="A90" i="54" s="1"/>
  <c r="A91" i="54" s="1"/>
  <c r="A92" i="54" s="1"/>
  <c r="A94" i="54" s="1"/>
  <c r="A95" i="54" s="1"/>
  <c r="A96" i="54" s="1"/>
  <c r="A97" i="54" s="1"/>
  <c r="A98" i="54" s="1"/>
  <c r="A99" i="54" s="1"/>
  <c r="A100" i="54" s="1"/>
  <c r="A103" i="54" s="1"/>
  <c r="A104" i="54" s="1"/>
  <c r="A105" i="54" s="1"/>
  <c r="A106" i="54" s="1"/>
  <c r="A107" i="54" s="1"/>
  <c r="A109" i="54" s="1"/>
  <c r="A110" i="54" s="1"/>
  <c r="A111" i="54" s="1"/>
  <c r="A112" i="54" s="1"/>
  <c r="A113" i="54" s="1"/>
  <c r="A115" i="54" s="1"/>
  <c r="A116" i="54" s="1"/>
  <c r="A117" i="54" s="1"/>
  <c r="A118" i="54" s="1"/>
  <c r="A119" i="54" s="1"/>
  <c r="A120" i="54" s="1"/>
  <c r="A121" i="54" s="1"/>
  <c r="E15" i="54"/>
  <c r="P48" i="75"/>
  <c r="P8" i="75" s="1"/>
  <c r="O48" i="75"/>
  <c r="N48" i="75"/>
  <c r="M48" i="75"/>
  <c r="L48" i="75"/>
  <c r="P31" i="74"/>
  <c r="P8" i="74" s="1"/>
  <c r="O31" i="74"/>
  <c r="N31" i="74"/>
  <c r="M31" i="74"/>
  <c r="L31" i="74"/>
  <c r="P15" i="73"/>
  <c r="P8" i="73" s="1"/>
  <c r="O15" i="73"/>
  <c r="N15" i="73"/>
  <c r="M15" i="73"/>
  <c r="L15" i="73"/>
  <c r="M68" i="19"/>
  <c r="N68" i="19"/>
  <c r="O68" i="19"/>
  <c r="P68" i="19"/>
  <c r="P8" i="19" s="1"/>
  <c r="L68" i="19"/>
  <c r="A15" i="19"/>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1" i="19" s="1"/>
  <c r="A42" i="19" s="1"/>
  <c r="A43" i="19" s="1"/>
  <c r="A44" i="19" s="1"/>
  <c r="A45" i="19" s="1"/>
  <c r="A46" i="19" s="1"/>
  <c r="A47" i="19" s="1"/>
  <c r="A48" i="19" s="1"/>
  <c r="A49" i="19" s="1"/>
  <c r="A50" i="19" s="1"/>
  <c r="A51" i="19" s="1"/>
  <c r="A52" i="19" s="1"/>
  <c r="A53" i="19" s="1"/>
  <c r="A54" i="19" s="1"/>
  <c r="A55" i="19" s="1"/>
  <c r="A56" i="19" s="1"/>
  <c r="A57" i="19" s="1"/>
  <c r="A59" i="19" s="1"/>
  <c r="A60" i="19" s="1"/>
  <c r="M115" i="20"/>
  <c r="N115" i="20"/>
  <c r="O115" i="20"/>
  <c r="P115" i="20"/>
  <c r="P8" i="20" s="1"/>
  <c r="L115" i="20"/>
  <c r="D111" i="20"/>
  <c r="D110" i="20"/>
  <c r="D107" i="20"/>
  <c r="D108" i="20" s="1"/>
  <c r="D109" i="20" s="1"/>
  <c r="D106" i="20"/>
  <c r="D112" i="20" s="1"/>
  <c r="E105" i="20"/>
  <c r="E106" i="20" s="1"/>
  <c r="D104" i="20"/>
  <c r="E100" i="20"/>
  <c r="E101" i="20" s="1"/>
  <c r="E102" i="20" s="1"/>
  <c r="E103" i="20" s="1"/>
  <c r="D95" i="20"/>
  <c r="D94" i="20"/>
  <c r="E93" i="20"/>
  <c r="E98" i="20" s="1"/>
  <c r="E99" i="20" s="1"/>
  <c r="D92" i="20"/>
  <c r="D102" i="20" s="1"/>
  <c r="D103" i="20" s="1"/>
  <c r="E90" i="20"/>
  <c r="E91" i="20" s="1"/>
  <c r="D89" i="20"/>
  <c r="E86" i="20"/>
  <c r="E87" i="20" s="1"/>
  <c r="E89" i="20" s="1"/>
  <c r="D85" i="20"/>
  <c r="D99" i="20" s="1"/>
  <c r="D84" i="20"/>
  <c r="D83" i="20"/>
  <c r="D97" i="20" s="1"/>
  <c r="E81" i="20"/>
  <c r="E82" i="20" s="1"/>
  <c r="D77" i="20"/>
  <c r="D78" i="20" s="1"/>
  <c r="D88" i="20" s="1"/>
  <c r="D76" i="20"/>
  <c r="E75" i="20"/>
  <c r="E76" i="20" s="1"/>
  <c r="E80" i="20" s="1"/>
  <c r="D72" i="20"/>
  <c r="D69" i="20"/>
  <c r="D70" i="20" s="1"/>
  <c r="D71" i="20" s="1"/>
  <c r="D68" i="20"/>
  <c r="D74" i="20" s="1"/>
  <c r="D80" i="20" s="1"/>
  <c r="E67" i="20"/>
  <c r="E72" i="20" s="1"/>
  <c r="D65" i="20"/>
  <c r="D63" i="20"/>
  <c r="D64" i="20" s="1"/>
  <c r="D62" i="20"/>
  <c r="D61" i="20"/>
  <c r="D66" i="20" s="1"/>
  <c r="E60" i="20"/>
  <c r="E61" i="20" s="1"/>
  <c r="E66" i="20" s="1"/>
  <c r="D58" i="20"/>
  <c r="D57" i="20"/>
  <c r="D56" i="20"/>
  <c r="D55" i="20"/>
  <c r="E53" i="20"/>
  <c r="E58" i="20" s="1"/>
  <c r="D51" i="20"/>
  <c r="D54" i="20" s="1"/>
  <c r="D59" i="20" s="1"/>
  <c r="D50" i="20"/>
  <c r="D49" i="20"/>
  <c r="D48" i="20"/>
  <c r="E46" i="20"/>
  <c r="E49" i="20" s="1"/>
  <c r="D45" i="20"/>
  <c r="D47" i="20" s="1"/>
  <c r="D52" i="20" s="1"/>
  <c r="D44" i="20"/>
  <c r="D43" i="20"/>
  <c r="D42" i="20"/>
  <c r="E41" i="20"/>
  <c r="E44" i="20" s="1"/>
  <c r="D39" i="20"/>
  <c r="D38" i="20"/>
  <c r="D37" i="20"/>
  <c r="D36" i="20"/>
  <c r="D35" i="20"/>
  <c r="E34" i="20"/>
  <c r="E37" i="20" s="1"/>
  <c r="D33" i="20"/>
  <c r="D32" i="20"/>
  <c r="D31" i="20"/>
  <c r="D30" i="20"/>
  <c r="D40" i="20" s="1"/>
  <c r="D29" i="20"/>
  <c r="E28" i="20"/>
  <c r="E31" i="20" s="1"/>
  <c r="D27" i="20"/>
  <c r="D26" i="20"/>
  <c r="D25" i="20"/>
  <c r="D22" i="20"/>
  <c r="D23" i="20" s="1"/>
  <c r="E21" i="20"/>
  <c r="E22" i="20" s="1"/>
  <c r="E23" i="20" s="1"/>
  <c r="D20" i="20"/>
  <c r="D19" i="20"/>
  <c r="D18" i="20"/>
  <c r="A16" i="20"/>
  <c r="A17" i="20" s="1"/>
  <c r="A18" i="20" s="1"/>
  <c r="A19" i="20" s="1"/>
  <c r="A20" i="20" s="1"/>
  <c r="A22" i="20" s="1"/>
  <c r="A23" i="20" s="1"/>
  <c r="A24" i="20" s="1"/>
  <c r="A25" i="20" s="1"/>
  <c r="A26" i="20" s="1"/>
  <c r="A27" i="20" s="1"/>
  <c r="A29" i="20" s="1"/>
  <c r="A30" i="20" s="1"/>
  <c r="A31" i="20" s="1"/>
  <c r="A32" i="20" s="1"/>
  <c r="A33" i="20" s="1"/>
  <c r="A35" i="20" s="1"/>
  <c r="A36" i="20" s="1"/>
  <c r="A37" i="20" s="1"/>
  <c r="A38" i="20" s="1"/>
  <c r="A39" i="20" s="1"/>
  <c r="A40" i="20" s="1"/>
  <c r="A42" i="20" s="1"/>
  <c r="A43" i="20" s="1"/>
  <c r="A44" i="20" s="1"/>
  <c r="A45" i="20" s="1"/>
  <c r="A47" i="20" s="1"/>
  <c r="A48" i="20" s="1"/>
  <c r="A49" i="20" s="1"/>
  <c r="A50" i="20" s="1"/>
  <c r="A51" i="20" s="1"/>
  <c r="A52" i="20" s="1"/>
  <c r="A54" i="20" s="1"/>
  <c r="A55" i="20" s="1"/>
  <c r="A56" i="20" s="1"/>
  <c r="A57" i="20" s="1"/>
  <c r="A58" i="20" s="1"/>
  <c r="A59" i="20" s="1"/>
  <c r="A61" i="20" s="1"/>
  <c r="A62" i="20" s="1"/>
  <c r="A63" i="20" s="1"/>
  <c r="A64" i="20" s="1"/>
  <c r="A65" i="20" s="1"/>
  <c r="A66" i="20" s="1"/>
  <c r="A68" i="20" s="1"/>
  <c r="A69" i="20" s="1"/>
  <c r="A70" i="20" s="1"/>
  <c r="A71" i="20" s="1"/>
  <c r="A72" i="20" s="1"/>
  <c r="A73" i="20" s="1"/>
  <c r="A74" i="20" s="1"/>
  <c r="A76" i="20" s="1"/>
  <c r="A77" i="20" s="1"/>
  <c r="A78" i="20" s="1"/>
  <c r="A79" i="20" s="1"/>
  <c r="A80" i="20" s="1"/>
  <c r="A82" i="20" s="1"/>
  <c r="A83" i="20" s="1"/>
  <c r="A84" i="20" s="1"/>
  <c r="A85" i="20" s="1"/>
  <c r="A87" i="20" s="1"/>
  <c r="A88" i="20" s="1"/>
  <c r="A89" i="20" s="1"/>
  <c r="A91" i="20" s="1"/>
  <c r="A92" i="20" s="1"/>
  <c r="A94" i="20" s="1"/>
  <c r="A95" i="20" s="1"/>
  <c r="A96" i="20" s="1"/>
  <c r="A97" i="20" s="1"/>
  <c r="A98" i="20" s="1"/>
  <c r="A99" i="20" s="1"/>
  <c r="A101" i="20" s="1"/>
  <c r="A102" i="20" s="1"/>
  <c r="A103" i="20" s="1"/>
  <c r="A104" i="20" s="1"/>
  <c r="A106" i="20" s="1"/>
  <c r="A107" i="20" s="1"/>
  <c r="A108" i="20" s="1"/>
  <c r="A109" i="20" s="1"/>
  <c r="A110" i="20" s="1"/>
  <c r="A111" i="20" s="1"/>
  <c r="A112" i="20" s="1"/>
  <c r="D15" i="20"/>
  <c r="D16" i="20" s="1"/>
  <c r="E14" i="20"/>
  <c r="E17" i="20" s="1"/>
  <c r="P8" i="63"/>
  <c r="E128" i="63"/>
  <c r="E127" i="63"/>
  <c r="E124" i="63"/>
  <c r="E120" i="63"/>
  <c r="E113" i="63"/>
  <c r="A112" i="63"/>
  <c r="A113" i="63" s="1"/>
  <c r="A114" i="63" s="1"/>
  <c r="A115" i="63" s="1"/>
  <c r="A116" i="63" s="1"/>
  <c r="A117" i="63" s="1"/>
  <c r="A118" i="63" s="1"/>
  <c r="A120" i="63" s="1"/>
  <c r="A122" i="63" s="1"/>
  <c r="A123" i="63" s="1"/>
  <c r="A124" i="63" s="1"/>
  <c r="A125" i="63" s="1"/>
  <c r="A126" i="63" s="1"/>
  <c r="A127" i="63" s="1"/>
  <c r="A128" i="63" s="1"/>
  <c r="A98" i="63"/>
  <c r="A99" i="63" s="1"/>
  <c r="A100" i="63" s="1"/>
  <c r="A101" i="63" s="1"/>
  <c r="A102" i="63" s="1"/>
  <c r="A103" i="63" s="1"/>
  <c r="A104" i="63" s="1"/>
  <c r="A85" i="63"/>
  <c r="A86" i="63" s="1"/>
  <c r="A87" i="63" s="1"/>
  <c r="A88" i="63" s="1"/>
  <c r="A89" i="63" s="1"/>
  <c r="A90" i="63" s="1"/>
  <c r="A91" i="63" s="1"/>
  <c r="A72" i="63"/>
  <c r="A73" i="63" s="1"/>
  <c r="A74" i="63" s="1"/>
  <c r="A75" i="63" s="1"/>
  <c r="A76" i="63" s="1"/>
  <c r="A77" i="63" s="1"/>
  <c r="A78" i="63" s="1"/>
  <c r="E65" i="63"/>
  <c r="E56" i="63"/>
  <c r="E55" i="63"/>
  <c r="E53" i="63"/>
  <c r="E50" i="63"/>
  <c r="E38" i="63"/>
  <c r="E37" i="63"/>
  <c r="E36" i="63"/>
  <c r="E35" i="63"/>
  <c r="E34" i="63"/>
  <c r="E33" i="63"/>
  <c r="E27" i="63"/>
  <c r="E26" i="63"/>
  <c r="E25" i="63"/>
  <c r="E24" i="63"/>
  <c r="E23" i="63"/>
  <c r="E21" i="63"/>
  <c r="E20" i="63"/>
  <c r="E19" i="63"/>
  <c r="E18" i="63"/>
  <c r="A15" i="63"/>
  <c r="A16" i="63" s="1"/>
  <c r="A17" i="63" s="1"/>
  <c r="A18" i="63" s="1"/>
  <c r="A19" i="63" s="1"/>
  <c r="A20" i="63" s="1"/>
  <c r="A21" i="63" s="1"/>
  <c r="A22" i="63" s="1"/>
  <c r="A23" i="63" s="1"/>
  <c r="A24" i="63" s="1"/>
  <c r="A25" i="63" s="1"/>
  <c r="A26" i="63" s="1"/>
  <c r="A27" i="63" s="1"/>
  <c r="A28" i="63" s="1"/>
  <c r="A29" i="63" s="1"/>
  <c r="A31" i="63" s="1"/>
  <c r="A33" i="63" s="1"/>
  <c r="A34" i="63" s="1"/>
  <c r="A35" i="63" s="1"/>
  <c r="A36" i="63" s="1"/>
  <c r="A37" i="63" s="1"/>
  <c r="A38" i="63" s="1"/>
  <c r="A39" i="63" s="1"/>
  <c r="A40" i="63" s="1"/>
  <c r="A42" i="63" s="1"/>
  <c r="A43" i="63" s="1"/>
  <c r="A44" i="63" s="1"/>
  <c r="A45" i="63" s="1"/>
  <c r="A46" i="63" s="1"/>
  <c r="A47" i="63" s="1"/>
  <c r="A48" i="63" s="1"/>
  <c r="A49" i="63" s="1"/>
  <c r="A50" i="63" s="1"/>
  <c r="A51" i="63" s="1"/>
  <c r="A52" i="63" s="1"/>
  <c r="A53" i="63" s="1"/>
  <c r="A54" i="63" s="1"/>
  <c r="A55" i="63" s="1"/>
  <c r="A56" i="63" s="1"/>
  <c r="A57" i="63" s="1"/>
  <c r="A58" i="63" s="1"/>
  <c r="A59" i="63" s="1"/>
  <c r="A61" i="63" s="1"/>
  <c r="A62" i="63" s="1"/>
  <c r="A63" i="63" s="1"/>
  <c r="A64" i="63" s="1"/>
  <c r="A65" i="63" s="1"/>
  <c r="A66" i="63" s="1"/>
  <c r="A67" i="63" s="1"/>
  <c r="A68" i="63" s="1"/>
  <c r="E32" i="20" l="1"/>
  <c r="E55" i="20"/>
  <c r="A65" i="19"/>
  <c r="A66" i="19" s="1"/>
  <c r="A67" i="19" s="1"/>
  <c r="A61" i="19"/>
  <c r="A62" i="19" s="1"/>
  <c r="A63" i="19" s="1"/>
  <c r="E29" i="20"/>
  <c r="E35" i="20"/>
  <c r="E40" i="20" s="1"/>
  <c r="E94" i="20"/>
  <c r="E104" i="20"/>
  <c r="E30" i="20"/>
  <c r="E15" i="20"/>
  <c r="E16" i="20" s="1"/>
  <c r="E95" i="20"/>
  <c r="E45" i="20"/>
  <c r="E39" i="20"/>
  <c r="E50" i="20"/>
  <c r="E47" i="20"/>
  <c r="E52" i="20" s="1"/>
  <c r="E51" i="20"/>
  <c r="E56" i="20"/>
  <c r="E36" i="20"/>
  <c r="E62" i="20"/>
  <c r="E63" i="20" s="1"/>
  <c r="E64" i="20" s="1"/>
  <c r="E68" i="20"/>
  <c r="E73" i="20" s="1"/>
  <c r="E48" i="20"/>
  <c r="E57" i="20"/>
  <c r="E69" i="20"/>
  <c r="E70" i="20" s="1"/>
  <c r="E71" i="20" s="1"/>
  <c r="E33" i="20"/>
  <c r="E38" i="20"/>
  <c r="E54" i="20"/>
  <c r="E59" i="20" s="1"/>
  <c r="E65" i="20"/>
  <c r="D73" i="20"/>
  <c r="E112" i="20"/>
  <c r="E111" i="20"/>
  <c r="E96" i="20"/>
  <c r="E97" i="20" s="1"/>
  <c r="E92" i="20"/>
  <c r="E83" i="20"/>
  <c r="E84" i="20"/>
  <c r="E85" i="20"/>
  <c r="E19" i="20"/>
  <c r="E18" i="20"/>
  <c r="E20" i="20"/>
  <c r="E77" i="20"/>
  <c r="E78" i="20" s="1"/>
  <c r="E79" i="20" s="1"/>
  <c r="E107" i="20"/>
  <c r="E108" i="20" s="1"/>
  <c r="E109" i="20" s="1"/>
  <c r="E24" i="20"/>
  <c r="E42" i="20"/>
  <c r="E110" i="20"/>
  <c r="E88" i="20"/>
  <c r="E43" i="20"/>
  <c r="D79" i="20"/>
  <c r="P8" i="18"/>
  <c r="E75" i="18"/>
  <c r="E73" i="18"/>
  <c r="E71" i="18"/>
  <c r="E68" i="18"/>
  <c r="E69" i="18" s="1"/>
  <c r="E65" i="18"/>
  <c r="E66" i="18" s="1"/>
  <c r="E62" i="18"/>
  <c r="E63" i="18" s="1"/>
  <c r="E59" i="18"/>
  <c r="E60" i="18" s="1"/>
  <c r="E56" i="18"/>
  <c r="E57" i="18" s="1"/>
  <c r="E53" i="18"/>
  <c r="E54" i="18" s="1"/>
  <c r="E50" i="18"/>
  <c r="E51" i="18" s="1"/>
  <c r="E47" i="18"/>
  <c r="E48" i="18" s="1"/>
  <c r="E44" i="18"/>
  <c r="E45" i="18" s="1"/>
  <c r="E42" i="18"/>
  <c r="E41" i="18"/>
  <c r="E37" i="18"/>
  <c r="E39" i="18" s="1"/>
  <c r="E34" i="18"/>
  <c r="E35" i="18" s="1"/>
  <c r="E32" i="18"/>
  <c r="E31" i="18"/>
  <c r="E29" i="18"/>
  <c r="E27" i="18"/>
  <c r="E25" i="18"/>
  <c r="E23" i="18"/>
  <c r="E21" i="18"/>
  <c r="E19" i="18"/>
  <c r="A17" i="18"/>
  <c r="A19" i="18" s="1"/>
  <c r="A21" i="18" s="1"/>
  <c r="A23" i="18" s="1"/>
  <c r="A25" i="18" s="1"/>
  <c r="A27" i="18" s="1"/>
  <c r="A29" i="18" s="1"/>
  <c r="A31" i="18" s="1"/>
  <c r="A32" i="18" s="1"/>
  <c r="A34" i="18" s="1"/>
  <c r="A35" i="18" s="1"/>
  <c r="A37" i="18" s="1"/>
  <c r="E81" i="17"/>
  <c r="E80" i="17"/>
  <c r="E79" i="17"/>
  <c r="E77" i="17"/>
  <c r="E73" i="17"/>
  <c r="E75" i="17" s="1"/>
  <c r="E69" i="17"/>
  <c r="E71" i="17" s="1"/>
  <c r="E65" i="17"/>
  <c r="E66" i="17" s="1"/>
  <c r="E61" i="17"/>
  <c r="E62" i="17" s="1"/>
  <c r="E57" i="17"/>
  <c r="E59" i="17" s="1"/>
  <c r="E53" i="17"/>
  <c r="E55" i="17" s="1"/>
  <c r="E49" i="17"/>
  <c r="E50" i="17" s="1"/>
  <c r="E44" i="17"/>
  <c r="E45" i="17" s="1"/>
  <c r="E46" i="17" s="1"/>
  <c r="E47" i="17" s="1"/>
  <c r="E40" i="17"/>
  <c r="E41" i="17" s="1"/>
  <c r="E36" i="17"/>
  <c r="E38" i="17" s="1"/>
  <c r="E31" i="17"/>
  <c r="E32" i="17" s="1"/>
  <c r="E33" i="17" s="1"/>
  <c r="E34" i="17" s="1"/>
  <c r="E29" i="17"/>
  <c r="A29" i="17"/>
  <c r="A31" i="17" s="1"/>
  <c r="A32" i="17" s="1"/>
  <c r="A33" i="17" s="1"/>
  <c r="A34" i="17" s="1"/>
  <c r="A36" i="17" s="1"/>
  <c r="A37" i="17" s="1"/>
  <c r="A38" i="17" s="1"/>
  <c r="A40" i="17" s="1"/>
  <c r="A41" i="17" s="1"/>
  <c r="A42" i="17" s="1"/>
  <c r="A44" i="17" s="1"/>
  <c r="A45" i="17" s="1"/>
  <c r="A46" i="17" s="1"/>
  <c r="A47" i="17" s="1"/>
  <c r="A49" i="17" s="1"/>
  <c r="A50" i="17" s="1"/>
  <c r="A51" i="17" s="1"/>
  <c r="A53" i="17" s="1"/>
  <c r="A54" i="17" s="1"/>
  <c r="A55" i="17" s="1"/>
  <c r="A57" i="17" s="1"/>
  <c r="A58" i="17" s="1"/>
  <c r="A59" i="17" s="1"/>
  <c r="A61" i="17" s="1"/>
  <c r="A62" i="17" s="1"/>
  <c r="A63" i="17" s="1"/>
  <c r="A65" i="17" s="1"/>
  <c r="A66" i="17" s="1"/>
  <c r="A67" i="17" s="1"/>
  <c r="A69" i="17" s="1"/>
  <c r="A70" i="17" s="1"/>
  <c r="A71" i="17" s="1"/>
  <c r="A73" i="17" s="1"/>
  <c r="A74" i="17" s="1"/>
  <c r="A75" i="17" s="1"/>
  <c r="A77" i="17" s="1"/>
  <c r="E27" i="17"/>
  <c r="E23" i="17"/>
  <c r="E24" i="17" s="1"/>
  <c r="E25" i="17" s="1"/>
  <c r="E21" i="17"/>
  <c r="E19" i="17"/>
  <c r="E14" i="17"/>
  <c r="E16" i="17" s="1"/>
  <c r="A14" i="17"/>
  <c r="A15" i="17" s="1"/>
  <c r="A16" i="17" s="1"/>
  <c r="A19" i="17" s="1"/>
  <c r="A20" i="17" s="1"/>
  <c r="A21" i="17" s="1"/>
  <c r="A23" i="17" s="1"/>
  <c r="A24" i="17" s="1"/>
  <c r="A25" i="17" s="1"/>
  <c r="A27" i="17" s="1"/>
  <c r="M82" i="17"/>
  <c r="N82" i="17"/>
  <c r="O82" i="17"/>
  <c r="P82" i="17"/>
  <c r="P8" i="17" s="1"/>
  <c r="L82" i="17"/>
  <c r="A78" i="17" l="1"/>
  <c r="A79" i="17" s="1"/>
  <c r="A80" i="17" s="1"/>
  <c r="A81" i="17" s="1"/>
  <c r="E74" i="17"/>
  <c r="E74" i="20"/>
  <c r="E26" i="20"/>
  <c r="E25" i="20"/>
  <c r="E27" i="20"/>
  <c r="E38" i="18"/>
  <c r="A39" i="18"/>
  <c r="A41" i="18" s="1"/>
  <c r="A42" i="18" s="1"/>
  <c r="A44" i="18" s="1"/>
  <c r="A45" i="18" s="1"/>
  <c r="A47" i="18" s="1"/>
  <c r="A48" i="18" s="1"/>
  <c r="A50" i="18" s="1"/>
  <c r="A51" i="18" s="1"/>
  <c r="A53" i="18" s="1"/>
  <c r="A54" i="18" s="1"/>
  <c r="A56" i="18" s="1"/>
  <c r="A57" i="18" s="1"/>
  <c r="A59" i="18" s="1"/>
  <c r="A60" i="18" s="1"/>
  <c r="A62" i="18" s="1"/>
  <c r="A63" i="18" s="1"/>
  <c r="A65" i="18" s="1"/>
  <c r="A66" i="18" s="1"/>
  <c r="A68" i="18" s="1"/>
  <c r="A69" i="18" s="1"/>
  <c r="A71" i="18" s="1"/>
  <c r="A73" i="18" s="1"/>
  <c r="A75" i="18" s="1"/>
  <c r="A77" i="18" s="1"/>
  <c r="A38" i="18"/>
  <c r="E63" i="17"/>
  <c r="E37" i="17"/>
  <c r="E58" i="17"/>
  <c r="E42" i="17"/>
  <c r="E15" i="17"/>
  <c r="E51" i="17"/>
  <c r="E67" i="17"/>
  <c r="E54" i="17"/>
  <c r="E70" i="17"/>
  <c r="M66" i="70"/>
  <c r="N66" i="70"/>
  <c r="O66" i="70"/>
  <c r="P66" i="70"/>
  <c r="P8" i="70" s="1"/>
  <c r="L66" i="70"/>
  <c r="E65" i="70"/>
  <c r="E64" i="70"/>
  <c r="E61" i="70"/>
  <c r="E60" i="70"/>
  <c r="E59" i="70"/>
  <c r="E58" i="70"/>
  <c r="E56" i="70"/>
  <c r="E55" i="70"/>
  <c r="E54" i="70"/>
  <c r="E53" i="70"/>
  <c r="E52" i="70"/>
  <c r="E51" i="70"/>
  <c r="E49" i="70"/>
  <c r="E48" i="70"/>
  <c r="E47" i="70"/>
  <c r="E46" i="70"/>
  <c r="E45" i="70"/>
  <c r="E44" i="70"/>
  <c r="E42" i="70"/>
  <c r="E41" i="70"/>
  <c r="E40" i="70"/>
  <c r="E37" i="70"/>
  <c r="E36" i="70"/>
  <c r="E35" i="70"/>
  <c r="E34" i="70"/>
  <c r="E33" i="70"/>
  <c r="E28" i="70"/>
  <c r="E31" i="70" s="1"/>
  <c r="D23" i="70"/>
  <c r="E22" i="70"/>
  <c r="E24" i="70" s="1"/>
  <c r="D20" i="70"/>
  <c r="E15" i="70"/>
  <c r="E17" i="70" s="1"/>
  <c r="A15" i="70"/>
  <c r="A16" i="70" s="1"/>
  <c r="A17" i="70" s="1"/>
  <c r="A18" i="70" s="1"/>
  <c r="A19" i="70" s="1"/>
  <c r="A20" i="70" s="1"/>
  <c r="A22" i="70" s="1"/>
  <c r="A23" i="70" s="1"/>
  <c r="A24" i="70" s="1"/>
  <c r="A25" i="70" s="1"/>
  <c r="A26" i="70" s="1"/>
  <c r="M121" i="16"/>
  <c r="N121" i="16"/>
  <c r="O121" i="16"/>
  <c r="P121" i="16"/>
  <c r="P8" i="16" s="1"/>
  <c r="L121" i="16"/>
  <c r="E119" i="16"/>
  <c r="E118" i="16"/>
  <c r="E117" i="16"/>
  <c r="E116" i="16"/>
  <c r="E115" i="16"/>
  <c r="E113" i="16"/>
  <c r="E112" i="16"/>
  <c r="E111" i="16"/>
  <c r="E109" i="16"/>
  <c r="E107" i="16"/>
  <c r="E106" i="16"/>
  <c r="E105" i="16"/>
  <c r="E104" i="16"/>
  <c r="E103" i="16"/>
  <c r="E99" i="16"/>
  <c r="E100" i="16" s="1"/>
  <c r="E97" i="16"/>
  <c r="E96" i="16"/>
  <c r="E95" i="16"/>
  <c r="E94" i="16"/>
  <c r="E92" i="16"/>
  <c r="E89" i="16"/>
  <c r="E90" i="16" s="1"/>
  <c r="E88" i="16"/>
  <c r="E87" i="16"/>
  <c r="E86" i="16"/>
  <c r="E85" i="16"/>
  <c r="E82" i="16"/>
  <c r="E83" i="16" s="1"/>
  <c r="E79" i="16"/>
  <c r="E76" i="16"/>
  <c r="E77" i="16" s="1"/>
  <c r="E73" i="16"/>
  <c r="E71" i="16"/>
  <c r="E70" i="16"/>
  <c r="E69" i="16"/>
  <c r="E60" i="16"/>
  <c r="E58" i="16"/>
  <c r="E51" i="16"/>
  <c r="E52" i="16" s="1"/>
  <c r="E50" i="16"/>
  <c r="E48" i="16"/>
  <c r="E45" i="16"/>
  <c r="E46" i="16" s="1"/>
  <c r="E41" i="16"/>
  <c r="E39" i="16"/>
  <c r="E38" i="16"/>
  <c r="E37" i="16"/>
  <c r="E34" i="16"/>
  <c r="E35" i="16" s="1"/>
  <c r="E33" i="16"/>
  <c r="E29" i="16" s="1"/>
  <c r="E23" i="16"/>
  <c r="A15" i="16"/>
  <c r="A16" i="16" s="1"/>
  <c r="A17" i="16" s="1"/>
  <c r="A18" i="16" s="1"/>
  <c r="A19" i="16" s="1"/>
  <c r="A20" i="16" s="1"/>
  <c r="A21" i="16" s="1"/>
  <c r="A22" i="16" s="1"/>
  <c r="A23" i="16" s="1"/>
  <c r="A24" i="16" s="1"/>
  <c r="A25" i="16" s="1"/>
  <c r="A26" i="16" s="1"/>
  <c r="A27" i="16" s="1"/>
  <c r="A29" i="16" s="1"/>
  <c r="P34" i="13"/>
  <c r="P8" i="13" s="1"/>
  <c r="M34" i="13"/>
  <c r="N34" i="13"/>
  <c r="O34" i="13"/>
  <c r="L34" i="13"/>
  <c r="E33" i="13"/>
  <c r="E26" i="13"/>
  <c r="E23" i="13"/>
  <c r="E22" i="13"/>
  <c r="A21" i="13"/>
  <c r="A22" i="13" s="1"/>
  <c r="A23" i="13" s="1"/>
  <c r="A24" i="13" s="1"/>
  <c r="A26" i="13" s="1"/>
  <c r="A27" i="13" s="1"/>
  <c r="A28" i="13" s="1"/>
  <c r="A29" i="13" s="1"/>
  <c r="A30" i="13" s="1"/>
  <c r="A31" i="13" s="1"/>
  <c r="A32" i="13" s="1"/>
  <c r="A33" i="13" s="1"/>
  <c r="E16" i="13"/>
  <c r="A14" i="13"/>
  <c r="A15" i="13" s="1"/>
  <c r="A16" i="13" s="1"/>
  <c r="K13" i="10"/>
  <c r="L13" i="10"/>
  <c r="M13" i="10"/>
  <c r="N13" i="10"/>
  <c r="O13" i="10"/>
  <c r="M44" i="10"/>
  <c r="N44" i="10"/>
  <c r="O44" i="10"/>
  <c r="P44" i="10"/>
  <c r="P8" i="10" s="1"/>
  <c r="L44" i="10"/>
  <c r="A15" i="10"/>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M40" i="9"/>
  <c r="N40" i="9"/>
  <c r="O40" i="9"/>
  <c r="P40" i="9"/>
  <c r="P8" i="9" s="1"/>
  <c r="L40" i="9"/>
  <c r="E30" i="9"/>
  <c r="E32" i="9" s="1"/>
  <c r="E38" i="9" s="1"/>
  <c r="E39" i="9" s="1"/>
  <c r="E27" i="9"/>
  <c r="E24" i="9"/>
  <c r="A14" i="9"/>
  <c r="A15" i="9" s="1"/>
  <c r="A16" i="9" s="1"/>
  <c r="A17" i="9" s="1"/>
  <c r="A18" i="9" s="1"/>
  <c r="A19" i="9" s="1"/>
  <c r="A20" i="9" s="1"/>
  <c r="A21" i="9" s="1"/>
  <c r="A22" i="9" s="1"/>
  <c r="A23" i="9" s="1"/>
  <c r="A24" i="9" s="1"/>
  <c r="A25" i="9" s="1"/>
  <c r="A26" i="9" s="1"/>
  <c r="A27" i="9" s="1"/>
  <c r="A28" i="9" s="1"/>
  <c r="A29" i="9" s="1"/>
  <c r="A30" i="9" s="1"/>
  <c r="A31" i="9" s="1"/>
  <c r="A32" i="9" s="1"/>
  <c r="A33" i="9" s="1"/>
  <c r="A34" i="9" s="1"/>
  <c r="A18" i="22"/>
  <c r="A19" i="22" s="1"/>
  <c r="A20" i="22" s="1"/>
  <c r="A21" i="22" s="1"/>
  <c r="A22" i="22" s="1"/>
  <c r="A23" i="22" s="1"/>
  <c r="A24" i="22" s="1"/>
  <c r="A25" i="22" s="1"/>
  <c r="A26" i="22" s="1"/>
  <c r="A27" i="22" s="1"/>
  <c r="A28" i="22" s="1"/>
  <c r="A29" i="22" s="1"/>
  <c r="A30" i="22" s="1"/>
  <c r="A20" i="2"/>
  <c r="A21" i="2" s="1"/>
  <c r="A22" i="2" s="1"/>
  <c r="A30" i="16" l="1"/>
  <c r="A31" i="16" s="1"/>
  <c r="A32" i="16" s="1"/>
  <c r="A33" i="16" s="1"/>
  <c r="A34" i="16" s="1"/>
  <c r="A35" i="16" s="1"/>
  <c r="A36" i="16" s="1"/>
  <c r="A37" i="16" s="1"/>
  <c r="A38" i="16" s="1"/>
  <c r="A39" i="16" s="1"/>
  <c r="A40" i="16" s="1"/>
  <c r="A41" i="16" s="1"/>
  <c r="A42" i="16" s="1"/>
  <c r="A45" i="16" s="1"/>
  <c r="A46" i="16" s="1"/>
  <c r="A47" i="16" s="1"/>
  <c r="A48" i="16" s="1"/>
  <c r="A50" i="16" s="1"/>
  <c r="A51" i="16" s="1"/>
  <c r="P13" i="10"/>
  <c r="E25" i="70"/>
  <c r="E26" i="70"/>
  <c r="E18" i="70"/>
  <c r="E19" i="70"/>
  <c r="E20" i="70"/>
  <c r="E29" i="70"/>
  <c r="E16" i="70"/>
  <c r="E30" i="70"/>
  <c r="E23" i="70"/>
  <c r="A59" i="70"/>
  <c r="A60" i="70" s="1"/>
  <c r="A28" i="70"/>
  <c r="A29" i="70" s="1"/>
  <c r="A30" i="70" s="1"/>
  <c r="A31" i="70" s="1"/>
  <c r="A33" i="70" s="1"/>
  <c r="A34" i="70" s="1"/>
  <c r="A35" i="70" s="1"/>
  <c r="A36" i="70" s="1"/>
  <c r="A37" i="70" s="1"/>
  <c r="A38" i="70" s="1"/>
  <c r="A40" i="70" s="1"/>
  <c r="A41" i="70" s="1"/>
  <c r="A42" i="70" s="1"/>
  <c r="A44" i="70" s="1"/>
  <c r="A45" i="70" s="1"/>
  <c r="A46" i="70" s="1"/>
  <c r="A47" i="70" s="1"/>
  <c r="A48" i="70" s="1"/>
  <c r="A49" i="70" s="1"/>
  <c r="A51" i="70" s="1"/>
  <c r="A52" i="70" s="1"/>
  <c r="A53" i="70" s="1"/>
  <c r="A54" i="70" s="1"/>
  <c r="A55" i="70" s="1"/>
  <c r="A56" i="70" s="1"/>
  <c r="E108" i="16"/>
  <c r="E36" i="16"/>
  <c r="E102" i="16"/>
  <c r="E31" i="9"/>
  <c r="E28" i="9" s="1"/>
  <c r="E29" i="9"/>
  <c r="A52" i="16" l="1"/>
  <c r="A53" i="16" s="1"/>
  <c r="A54" i="16" s="1"/>
  <c r="A56" i="16" s="1"/>
  <c r="A58" i="16" s="1"/>
  <c r="A59" i="16" s="1"/>
  <c r="A60" i="16" s="1"/>
  <c r="A61" i="16" s="1"/>
  <c r="A63" i="16" s="1"/>
  <c r="A65" i="16" s="1"/>
  <c r="A67" i="16" s="1"/>
  <c r="A69" i="16" s="1"/>
  <c r="A62" i="70"/>
  <c r="A63" i="70" s="1"/>
  <c r="A64" i="70" s="1"/>
  <c r="A61" i="70"/>
  <c r="A65" i="70" s="1"/>
  <c r="A70" i="16" l="1"/>
  <c r="A71" i="16" s="1"/>
  <c r="A72" i="16" s="1"/>
  <c r="A73" i="16" s="1"/>
  <c r="A76" i="16" s="1"/>
  <c r="A77" i="16" s="1"/>
  <c r="A78" i="16" s="1"/>
  <c r="A79" i="16" s="1"/>
  <c r="A80" i="16" s="1"/>
  <c r="A82" i="16" s="1"/>
  <c r="A83" i="16" s="1"/>
  <c r="A84" i="16" s="1"/>
  <c r="A85" i="16" s="1"/>
  <c r="A86" i="16" s="1"/>
  <c r="A87" i="16" s="1"/>
  <c r="A88" i="16" s="1"/>
  <c r="A89" i="16" s="1"/>
  <c r="A90" i="16" s="1"/>
  <c r="A91" i="16" s="1"/>
  <c r="A92" i="16" s="1"/>
  <c r="Q59" i="45"/>
  <c r="Q8" i="45" s="1"/>
  <c r="P59" i="45"/>
  <c r="O59" i="45"/>
  <c r="N59" i="45"/>
  <c r="M59" i="45"/>
  <c r="A94" i="16" l="1"/>
  <c r="A95" i="16" s="1"/>
  <c r="A96" i="16" s="1"/>
  <c r="A97" i="16" s="1"/>
  <c r="A99" i="16" s="1"/>
  <c r="A100" i="16" s="1"/>
  <c r="A102" i="16" s="1"/>
  <c r="M70" i="70"/>
  <c r="L69" i="70"/>
  <c r="A103" i="16" l="1"/>
  <c r="A104" i="16" s="1"/>
  <c r="A105" i="16" s="1"/>
  <c r="A106" i="16" s="1"/>
  <c r="A107" i="16" s="1"/>
  <c r="A108" i="16" s="1"/>
  <c r="A109" i="16" s="1"/>
  <c r="A110" i="16" s="1"/>
  <c r="A111" i="16" s="1"/>
  <c r="A112" i="16" s="1"/>
  <c r="A113" i="16" s="1"/>
  <c r="A115" i="16" s="1"/>
  <c r="A116" i="16" s="1"/>
  <c r="A117" i="16" s="1"/>
  <c r="A118" i="16" s="1"/>
  <c r="A119" i="16" s="1"/>
  <c r="A120" i="16" s="1"/>
  <c r="A5" i="67"/>
  <c r="C34" i="67"/>
  <c r="B34" i="67"/>
  <c r="C33" i="67"/>
  <c r="B33" i="67"/>
  <c r="C32" i="67"/>
  <c r="B32" i="67"/>
  <c r="C8" i="67"/>
  <c r="O13" i="16"/>
  <c r="N13" i="16"/>
  <c r="L13" i="16"/>
  <c r="H13" i="16"/>
  <c r="M13" i="16" s="1"/>
  <c r="O13" i="9"/>
  <c r="N13" i="9"/>
  <c r="M13" i="9"/>
  <c r="L13" i="9"/>
  <c r="K13" i="9"/>
  <c r="A5" i="57"/>
  <c r="C33" i="57"/>
  <c r="B33" i="57"/>
  <c r="C32" i="57"/>
  <c r="B32" i="57"/>
  <c r="C31" i="57"/>
  <c r="B31" i="57"/>
  <c r="C27" i="57"/>
  <c r="C26" i="57"/>
  <c r="C10" i="57"/>
  <c r="N39" i="44"/>
  <c r="M38" i="44"/>
  <c r="N49" i="43"/>
  <c r="M48" i="43"/>
  <c r="M50" i="42"/>
  <c r="L49" i="42"/>
  <c r="M69" i="40"/>
  <c r="L68" i="40"/>
  <c r="M191" i="37"/>
  <c r="L190" i="37"/>
  <c r="N146" i="36"/>
  <c r="M145" i="36"/>
  <c r="N610" i="35"/>
  <c r="M609" i="35"/>
  <c r="M172" i="34"/>
  <c r="L171" i="34"/>
  <c r="C10" i="33"/>
  <c r="E49" i="10"/>
  <c r="F49" i="10"/>
  <c r="G49" i="10"/>
  <c r="H49" i="10"/>
  <c r="B49" i="10"/>
  <c r="M119" i="20"/>
  <c r="L118" i="20"/>
  <c r="M72" i="19"/>
  <c r="L71" i="19"/>
  <c r="M82" i="18"/>
  <c r="L81" i="18"/>
  <c r="M86" i="17"/>
  <c r="L85" i="17"/>
  <c r="L47" i="10"/>
  <c r="M48" i="10"/>
  <c r="A49" i="10"/>
  <c r="C45" i="9"/>
  <c r="C49" i="10" s="1"/>
  <c r="D49" i="10"/>
  <c r="I49" i="10"/>
  <c r="J49" i="10"/>
  <c r="K49" i="10"/>
  <c r="L49" i="10"/>
  <c r="M45" i="9"/>
  <c r="M49" i="10" s="1"/>
  <c r="O49" i="10"/>
  <c r="P49" i="10"/>
  <c r="M125" i="16"/>
  <c r="L124" i="16"/>
  <c r="M38" i="13"/>
  <c r="L37" i="13"/>
  <c r="L43" i="9"/>
  <c r="C6" i="9"/>
  <c r="A5" i="33"/>
  <c r="GV144" i="36"/>
  <c r="GU144" i="36"/>
  <c r="GT144" i="36"/>
  <c r="GS144" i="36"/>
  <c r="GR144" i="36"/>
  <c r="GQ144" i="36"/>
  <c r="GP144" i="36"/>
  <c r="GO144" i="36"/>
  <c r="GN144" i="36"/>
  <c r="GM144" i="36"/>
  <c r="GL144" i="36"/>
  <c r="GK144" i="36"/>
  <c r="GJ144" i="36"/>
  <c r="GI144" i="36"/>
  <c r="GH144" i="36"/>
  <c r="GG144" i="36"/>
  <c r="GF144" i="36"/>
  <c r="GE144" i="36"/>
  <c r="GD144" i="36"/>
  <c r="GC144" i="36"/>
  <c r="GB144" i="36"/>
  <c r="GA144" i="36"/>
  <c r="FZ144" i="36"/>
  <c r="FY144" i="36"/>
  <c r="FX144" i="36"/>
  <c r="FW144" i="36"/>
  <c r="FV144" i="36"/>
  <c r="FU144" i="36"/>
  <c r="FT144" i="36"/>
  <c r="FS144" i="36"/>
  <c r="FR144" i="36"/>
  <c r="FQ144" i="36"/>
  <c r="FP144" i="36"/>
  <c r="FO144" i="36"/>
  <c r="FN144" i="36"/>
  <c r="FM144" i="36"/>
  <c r="FL144" i="36"/>
  <c r="FK144" i="36"/>
  <c r="FJ144" i="36"/>
  <c r="FI144" i="36"/>
  <c r="FH144" i="36"/>
  <c r="FG144" i="36"/>
  <c r="FF144" i="36"/>
  <c r="FE144" i="36"/>
  <c r="FD144" i="36"/>
  <c r="FC144" i="36"/>
  <c r="FB144" i="36"/>
  <c r="FA144" i="36"/>
  <c r="EZ144" i="36"/>
  <c r="EY144" i="36"/>
  <c r="EX144" i="36"/>
  <c r="EW144" i="36"/>
  <c r="EV144" i="36"/>
  <c r="EU144" i="36"/>
  <c r="ET144" i="36"/>
  <c r="ES144" i="36"/>
  <c r="ER144" i="36"/>
  <c r="EQ144" i="36"/>
  <c r="EP144" i="36"/>
  <c r="EO144" i="36"/>
  <c r="EN144" i="36"/>
  <c r="EM144" i="36"/>
  <c r="EL144" i="36"/>
  <c r="EK144" i="36"/>
  <c r="EJ144" i="36"/>
  <c r="EI144" i="36"/>
  <c r="EH144" i="36"/>
  <c r="EG144" i="36"/>
  <c r="EF144" i="36"/>
  <c r="EE144" i="36"/>
  <c r="ED144" i="36"/>
  <c r="EC144" i="36"/>
  <c r="EB144" i="36"/>
  <c r="EA144" i="36"/>
  <c r="DZ144" i="36"/>
  <c r="DY144" i="36"/>
  <c r="DX144" i="36"/>
  <c r="DW144" i="36"/>
  <c r="DV144" i="36"/>
  <c r="DU144" i="36"/>
  <c r="DT144" i="36"/>
  <c r="DS144" i="36"/>
  <c r="DR144" i="36"/>
  <c r="DQ144" i="36"/>
  <c r="DP144" i="36"/>
  <c r="DO144" i="36"/>
  <c r="DN144" i="36"/>
  <c r="DM144" i="36"/>
  <c r="DL144" i="36"/>
  <c r="DK144" i="36"/>
  <c r="DJ144" i="36"/>
  <c r="DI144" i="36"/>
  <c r="DH144" i="36"/>
  <c r="DG144" i="36"/>
  <c r="DF144" i="36"/>
  <c r="DE144" i="36"/>
  <c r="DD144" i="36"/>
  <c r="DC144" i="36"/>
  <c r="DB144" i="36"/>
  <c r="DA144" i="36"/>
  <c r="CZ144" i="36"/>
  <c r="CY144" i="36"/>
  <c r="CX144" i="36"/>
  <c r="CW144" i="36"/>
  <c r="CV144" i="36"/>
  <c r="CU144" i="36"/>
  <c r="CT144" i="36"/>
  <c r="CS144" i="36"/>
  <c r="CR144" i="36"/>
  <c r="CQ144" i="36"/>
  <c r="CP144" i="36"/>
  <c r="CO144" i="36"/>
  <c r="CN144" i="36"/>
  <c r="CM144" i="36"/>
  <c r="CL144" i="36"/>
  <c r="CK144" i="36"/>
  <c r="CJ144" i="36"/>
  <c r="CI144" i="36"/>
  <c r="CH144" i="36"/>
  <c r="CG144" i="36"/>
  <c r="CF144" i="36"/>
  <c r="CE144" i="36"/>
  <c r="CD144" i="36"/>
  <c r="CC144" i="36"/>
  <c r="CB144" i="36"/>
  <c r="CA144" i="36"/>
  <c r="BZ144" i="36"/>
  <c r="BY144" i="36"/>
  <c r="BX144" i="36"/>
  <c r="BW144" i="36"/>
  <c r="BV144" i="36"/>
  <c r="BU144" i="36"/>
  <c r="BT144" i="36"/>
  <c r="BS144" i="36"/>
  <c r="BR144" i="36"/>
  <c r="BQ144" i="36"/>
  <c r="BP144" i="36"/>
  <c r="BO144" i="36"/>
  <c r="BN144" i="36"/>
  <c r="BM144" i="36"/>
  <c r="BL144" i="36"/>
  <c r="BK144" i="36"/>
  <c r="BJ144" i="36"/>
  <c r="BI144" i="36"/>
  <c r="BH144" i="36"/>
  <c r="BG144" i="36"/>
  <c r="BF144" i="36"/>
  <c r="BE144" i="36"/>
  <c r="BD144" i="36"/>
  <c r="BC144" i="36"/>
  <c r="BB144" i="36"/>
  <c r="BA144" i="36"/>
  <c r="AZ144" i="36"/>
  <c r="AY144" i="36"/>
  <c r="AX144" i="36"/>
  <c r="AW144" i="36"/>
  <c r="AV144" i="36"/>
  <c r="AU144" i="36"/>
  <c r="AT144" i="36"/>
  <c r="AS144" i="36"/>
  <c r="AR144" i="36"/>
  <c r="AQ144" i="36"/>
  <c r="AP144" i="36"/>
  <c r="AO144" i="36"/>
  <c r="AN144" i="36"/>
  <c r="AM144" i="36"/>
  <c r="AL144" i="36"/>
  <c r="AK144" i="36"/>
  <c r="AJ144" i="36"/>
  <c r="AI144" i="36"/>
  <c r="AH144" i="36"/>
  <c r="AG144" i="36"/>
  <c r="AF144" i="36"/>
  <c r="AE144" i="36"/>
  <c r="AD144" i="36"/>
  <c r="AC144" i="36"/>
  <c r="AB144" i="36"/>
  <c r="AA144" i="36"/>
  <c r="Z144" i="36"/>
  <c r="Y144" i="36"/>
  <c r="X144" i="36"/>
  <c r="W144" i="36"/>
  <c r="V144" i="36"/>
  <c r="U144" i="36"/>
  <c r="T144" i="36"/>
  <c r="S144" i="36"/>
  <c r="R144" i="36"/>
  <c r="C45" i="33"/>
  <c r="B45" i="33"/>
  <c r="C44" i="33"/>
  <c r="B44" i="33"/>
  <c r="C43" i="33"/>
  <c r="B43" i="33"/>
  <c r="C39" i="33"/>
  <c r="C38" i="33"/>
  <c r="C40" i="22"/>
  <c r="C39" i="22"/>
  <c r="A5" i="22"/>
  <c r="A50" i="10"/>
  <c r="B50" i="10"/>
  <c r="C50" i="10"/>
  <c r="D50" i="10"/>
  <c r="E50" i="10"/>
  <c r="F50" i="10"/>
  <c r="G50" i="10"/>
  <c r="H50" i="10"/>
  <c r="I50" i="10"/>
  <c r="J50" i="10"/>
  <c r="K50" i="10"/>
  <c r="L50" i="10"/>
  <c r="M50" i="10"/>
  <c r="N50" i="10"/>
  <c r="O50" i="10"/>
  <c r="P50" i="10"/>
  <c r="M44" i="9"/>
  <c r="B44" i="22"/>
  <c r="C44" i="22"/>
  <c r="B45" i="22"/>
  <c r="C45" i="22"/>
  <c r="B46" i="22"/>
  <c r="C46" i="22"/>
  <c r="C10" i="22"/>
  <c r="P13" i="16" l="1"/>
  <c r="P13" i="9"/>
  <c r="K13" i="16"/>
  <c r="E30" i="33" l="1"/>
  <c r="P8" i="37"/>
  <c r="E31" i="33" l="1"/>
  <c r="E32" i="33" s="1"/>
  <c r="E33" i="33"/>
  <c r="E34" i="33" l="1"/>
</calcChain>
</file>

<file path=xl/sharedStrings.xml><?xml version="1.0" encoding="utf-8"?>
<sst xmlns="http://schemas.openxmlformats.org/spreadsheetml/2006/main" count="7903" uniqueCount="1791">
  <si>
    <t xml:space="preserve">APSTIPRINU </t>
  </si>
  <si>
    <t>________________________________________</t>
  </si>
  <si>
    <t>(pasūtītāja paraksts un tā atšifrējums)</t>
  </si>
  <si>
    <t>Z.v.</t>
  </si>
  <si>
    <t>Būvniecības koptāme</t>
  </si>
  <si>
    <t>Objekta nosaukums</t>
  </si>
  <si>
    <t xml:space="preserve"> Kopā( bez PVN)</t>
  </si>
  <si>
    <t>Sastādīja:</t>
  </si>
  <si>
    <t xml:space="preserve">Būves nosaukums: </t>
  </si>
  <si>
    <t xml:space="preserve">Objekta adrese: </t>
  </si>
  <si>
    <t>Būves nosaukums:</t>
  </si>
  <si>
    <t>Objekta nosaukums:</t>
  </si>
  <si>
    <t>Objekta adrese:</t>
  </si>
  <si>
    <t>Kopējā darbietilpība, c/h</t>
  </si>
  <si>
    <t>Nr.p.k.</t>
  </si>
  <si>
    <t>Kods, tāmes Nr.</t>
  </si>
  <si>
    <t>Darba veids vai konstruktīvā elementa nosaukums</t>
  </si>
  <si>
    <t>Tai skaitā</t>
  </si>
  <si>
    <t>Darbietilpība (c/h)</t>
  </si>
  <si>
    <t>Kopā</t>
  </si>
  <si>
    <t>Kopā bez PVN</t>
  </si>
  <si>
    <t>Kods</t>
  </si>
  <si>
    <t>Darba nosaukums</t>
  </si>
  <si>
    <t>Mērvienība</t>
  </si>
  <si>
    <t>Daudzums</t>
  </si>
  <si>
    <t>Vienības izmaksas</t>
  </si>
  <si>
    <t>Kopā uz visu apjomu</t>
  </si>
  <si>
    <t>Laika norma (c/h)</t>
  </si>
  <si>
    <t xml:space="preserve">Objekta nosaukums: </t>
  </si>
  <si>
    <t>Peļņa</t>
  </si>
  <si>
    <t>Pasūtījuma Nr.</t>
  </si>
  <si>
    <t>Virsizdevumi</t>
  </si>
  <si>
    <t>Kopsav.tāmes Nr</t>
  </si>
  <si>
    <t>PVN 21 %</t>
  </si>
  <si>
    <t>Kopā būvniecības izmaksas</t>
  </si>
  <si>
    <t>tai skaitā darba aizsardzība</t>
  </si>
  <si>
    <t>Piezīmes:</t>
  </si>
  <si>
    <t>Darba samaksas likme (euro/h)</t>
  </si>
  <si>
    <t>Darba alga (euro)</t>
  </si>
  <si>
    <t>Materiāli (euro)</t>
  </si>
  <si>
    <t>Mehānismi (euro)</t>
  </si>
  <si>
    <t>Kopā (euro)</t>
  </si>
  <si>
    <t>Summa (euro)</t>
  </si>
  <si>
    <t>Par kopējo summu, euro</t>
  </si>
  <si>
    <t>Tāmes izmaksas (euro)</t>
  </si>
  <si>
    <t>darba alga (euro)</t>
  </si>
  <si>
    <t>materiāli (euro)</t>
  </si>
  <si>
    <t>mehānismi (euro)</t>
  </si>
  <si>
    <t>Objekta izmaksas            (euro)</t>
  </si>
  <si>
    <t>Bērnu klīniskās universitātes slimnīcas (BKUS) 24. korpuss</t>
  </si>
  <si>
    <t>Rīga, Zemgales priekšpilsēta,Vienības gatve 45</t>
  </si>
  <si>
    <t>Tāme sastādīta 2014.gada tirgus cenās, pamatojoties uz SIA „Baltex Group” tehniskā projekta rasējumiem un darbu apjomiem</t>
  </si>
  <si>
    <t>Tāmes izmaksas euro:</t>
  </si>
  <si>
    <t>Demontāžas darbi</t>
  </si>
  <si>
    <t>Tāme sastādīta:</t>
  </si>
  <si>
    <t>Tāme Nr.1.1</t>
  </si>
  <si>
    <t>Būvuzņēmējam jādod pilna apjoma tendera cenu piedāvājums, ieskaitot palīgdarbus  un materiālus, kas nav uzrādīti tāmē, apjomu sarakstā un projektā, bet ir nepieciešami projektētā būvobjekta izbūvei un nodošanai ekspluatācijā.</t>
  </si>
  <si>
    <t>Tāme Nr.1.2</t>
  </si>
  <si>
    <t>Tāme Nr.1.3</t>
  </si>
  <si>
    <t>Tāme Nr.1.6</t>
  </si>
  <si>
    <t>Tāme Nr.1.7</t>
  </si>
  <si>
    <t>Tāme Nr.1.8</t>
  </si>
  <si>
    <t>Tāme Nr.1.9</t>
  </si>
  <si>
    <t>Tāme Nr.1.10</t>
  </si>
  <si>
    <t>Tāme Nr.2.1</t>
  </si>
  <si>
    <t>Tāme Nr.2.2</t>
  </si>
  <si>
    <t>Tāme Nr.2.3</t>
  </si>
  <si>
    <t>Tāme Nr.2.4</t>
  </si>
  <si>
    <t>Tāme Nr.2.5</t>
  </si>
  <si>
    <t>Tāme Nr.2.6</t>
  </si>
  <si>
    <t>Tāme Nr.2.7</t>
  </si>
  <si>
    <t>Tāme Nr.2.8</t>
  </si>
  <si>
    <t>Tāme Nr.2.9</t>
  </si>
  <si>
    <t>Tāme Nr.2.10</t>
  </si>
  <si>
    <t>Tāme Nr.2.11</t>
  </si>
  <si>
    <t>Tāme Nr.2.13</t>
  </si>
  <si>
    <t>Dažādi darbi</t>
  </si>
  <si>
    <t>m</t>
  </si>
  <si>
    <t>gb.</t>
  </si>
  <si>
    <t>mēn</t>
  </si>
  <si>
    <t>gb</t>
  </si>
  <si>
    <t>kpl</t>
  </si>
  <si>
    <t>m2</t>
  </si>
  <si>
    <t>t.m.</t>
  </si>
  <si>
    <t>m3</t>
  </si>
  <si>
    <t>kg</t>
  </si>
  <si>
    <t>l</t>
  </si>
  <si>
    <t>kpl.</t>
  </si>
  <si>
    <t>Palīgmateriāli</t>
  </si>
  <si>
    <t>palīgmateriāli</t>
  </si>
  <si>
    <t>kompl.</t>
  </si>
  <si>
    <t>k-ts</t>
  </si>
  <si>
    <t>Esošo tīklu demontāža</t>
  </si>
  <si>
    <t>gab.</t>
  </si>
  <si>
    <t>Zemes darbi</t>
  </si>
  <si>
    <t>Jumts</t>
  </si>
  <si>
    <t>gab</t>
  </si>
  <si>
    <t>Grunts izstrāde ar rokām</t>
  </si>
  <si>
    <t>stiprinājumi</t>
  </si>
  <si>
    <t>Tāme Nr.1.11</t>
  </si>
  <si>
    <t>kompl</t>
  </si>
  <si>
    <t>Kopsavilkuma aprēķini pa darbu vai konstruktīvo elementu veidiem Nr.3</t>
  </si>
  <si>
    <t>Kopsavilkuma aprēķini pa darbu vai konstruktīvo elementu veidiem Nr.4</t>
  </si>
  <si>
    <t>Kopsavilkuma aprēķini pa darbu vai konstruktīvo elementu veidiem Nr.2</t>
  </si>
  <si>
    <t>Kopsavilkuma aprēķini pa darbu vai konstruktīvo elementu veidiem Nr.1</t>
  </si>
  <si>
    <t>Tāme Nr.4.1</t>
  </si>
  <si>
    <t>Ģeotekstila ieklāšana</t>
  </si>
  <si>
    <t>Instalācijas materiāli</t>
  </si>
  <si>
    <t>Tāme Nr.3.1</t>
  </si>
  <si>
    <t>Tāme Nr.2.12</t>
  </si>
  <si>
    <t>Esošās grunts blietēšana</t>
  </si>
  <si>
    <t>Izolācijas palīgmateriāli</t>
  </si>
  <si>
    <t>Tāme Nr.1.5</t>
  </si>
  <si>
    <t>Tāme Nr.1.4</t>
  </si>
  <si>
    <t>__%</t>
  </si>
  <si>
    <t xml:space="preserve">m </t>
  </si>
  <si>
    <t>2019.gada ____.____________</t>
  </si>
  <si>
    <t>Bērnu klīniskās universitātes slimnīcas (BKUS) 34. korpuss</t>
  </si>
  <si>
    <t>Bērnu klīniskās universitātes slimnīcas (BKUS) 34. korpusa pārbūve</t>
  </si>
  <si>
    <t>Vispārceltniecības darbi</t>
  </si>
  <si>
    <t>Iekšējie inženiertīkli</t>
  </si>
  <si>
    <t>Labiekārtošanas darbi</t>
  </si>
  <si>
    <t>Ārējie inženiertīkli</t>
  </si>
  <si>
    <t>Finanšu rezerve neparedzētiem darbiem 3%</t>
  </si>
  <si>
    <t>1-1</t>
  </si>
  <si>
    <t>Būvlaukuma izmaksas</t>
  </si>
  <si>
    <t>1-2</t>
  </si>
  <si>
    <t>1-3</t>
  </si>
  <si>
    <t>Pamati un pamatnes</t>
  </si>
  <si>
    <t>1-4</t>
  </si>
  <si>
    <t>Būvkonstrukcijas</t>
  </si>
  <si>
    <t>1-5</t>
  </si>
  <si>
    <t>1-6</t>
  </si>
  <si>
    <t>Fasādes darbi</t>
  </si>
  <si>
    <t>1-7</t>
  </si>
  <si>
    <t>Sienas, starpsienas</t>
  </si>
  <si>
    <t>1-8</t>
  </si>
  <si>
    <t>Kāpnes, margas</t>
  </si>
  <si>
    <t>1-9</t>
  </si>
  <si>
    <t>Grīdu pamatnes</t>
  </si>
  <si>
    <t>1-10</t>
  </si>
  <si>
    <t>Aiļu aizpildījumi</t>
  </si>
  <si>
    <t>1-11</t>
  </si>
  <si>
    <t>Iekšējā apdare</t>
  </si>
  <si>
    <t>1-12</t>
  </si>
  <si>
    <t>Lifts</t>
  </si>
  <si>
    <t>1-13</t>
  </si>
  <si>
    <t>1-14</t>
  </si>
  <si>
    <t>Baseina tehnoloģijas</t>
  </si>
  <si>
    <t>līg.c.</t>
  </si>
  <si>
    <t>Pagaidu žoga ierīkošana</t>
  </si>
  <si>
    <t>Iebraukšanas vārtu montāža</t>
  </si>
  <si>
    <t>Būvtafeles ierīkošana</t>
  </si>
  <si>
    <t>Strādnieku vagoniņa uzstādīšana</t>
  </si>
  <si>
    <t>Inventāra noliktavas atvešana, uzstādīšana</t>
  </si>
  <si>
    <t>Ofisu vagoniņa uzstādīšana</t>
  </si>
  <si>
    <t>Apsardzes vagoniņa uzstādīšana</t>
  </si>
  <si>
    <t>Biotualetes atvešana, uzstādīšana</t>
  </si>
  <si>
    <t xml:space="preserve">Prožektoru montāža </t>
  </si>
  <si>
    <t>Materiālu nokraušanas vietas izveide</t>
  </si>
  <si>
    <t>Pagaidu žoga noma</t>
  </si>
  <si>
    <t>Iebraukšanas vārtu noma</t>
  </si>
  <si>
    <t xml:space="preserve">Strādnieku vagoniņa noma </t>
  </si>
  <si>
    <t>Noliktavas konteinera noma</t>
  </si>
  <si>
    <t>Ofisu konteinera noma</t>
  </si>
  <si>
    <t>Apsardzes konteinera noma</t>
  </si>
  <si>
    <t>Biotualetes noma, tīrīšana</t>
  </si>
  <si>
    <t xml:space="preserve">Elektroenērģijas izmaksas  būvniecības periodā </t>
  </si>
  <si>
    <t>Ūdens izmaksas būvniecības periodā</t>
  </si>
  <si>
    <t>Drošības zīmes</t>
  </si>
  <si>
    <t>Ugunsdzēsības stends ar piederumiem</t>
  </si>
  <si>
    <t>Manuālās ugunsdzēsības ierīces (55A 233B), kopējais nodrošinājums objektā 718A 3512B</t>
  </si>
  <si>
    <t>Koku aizsardzība</t>
  </si>
  <si>
    <t>Pagaidu ceļi</t>
  </si>
  <si>
    <t>Būvgružu savākšana un iekraušana konteinerī</t>
  </si>
  <si>
    <t>Objekta apsardzes izmaksas</t>
  </si>
  <si>
    <t>Būvlaukuma sagatavošana, uzturēšana</t>
  </si>
  <si>
    <t>Tiešās izmaksas kopā, t.sk.darba devēja sociālais nodoklis (24.09%)</t>
  </si>
  <si>
    <t>Pagrabstāva un pamatu mūra sienu demontāža</t>
  </si>
  <si>
    <t>Virszemes mūra ārsienu un starpsienu demontāža</t>
  </si>
  <si>
    <t>Demontējami lieveņi (betons, bruģis, flīzes)</t>
  </si>
  <si>
    <t>Vieglo karkasa starpsienu demontāža</t>
  </si>
  <si>
    <t>Koka pārseguma demontāža</t>
  </si>
  <si>
    <t>Dz/b pārsegumu demontāža</t>
  </si>
  <si>
    <t>Karkasa konstrukcijas pārseguma konsoles demontāža gar virtuves sienām</t>
  </si>
  <si>
    <t>Jumta seguma demontāža</t>
  </si>
  <si>
    <t>Jumta apakšklāja demontāža</t>
  </si>
  <si>
    <t>Jumta spāru demontāža</t>
  </si>
  <si>
    <t>Grīdu demontāža (līdz pārseguma sijām)</t>
  </si>
  <si>
    <t>1. stāva grīdas demontāža līdz pārsegumam</t>
  </si>
  <si>
    <t>Pagrabstāva grīdas demontāža</t>
  </si>
  <si>
    <t>Grīdu izolācijas (izdedžu) demontāža</t>
  </si>
  <si>
    <t xml:space="preserve">Griestu demontāža līdz dz/b pārsegumam, vai koka pārseguma sijām  </t>
  </si>
  <si>
    <t>Apdares demontāža (apmetums/flīzes)</t>
  </si>
  <si>
    <t>Logu, stikla bloku (t.sk.palodžu) demontāža</t>
  </si>
  <si>
    <t>Durvju demontāža</t>
  </si>
  <si>
    <t>Iekšējo betona kāpņu demontāža</t>
  </si>
  <si>
    <t>Skursteņu demontāža</t>
  </si>
  <si>
    <t>Esošo padziļinājumu mūra sienu pie pagrabstāvā logiem demontāža</t>
  </si>
  <si>
    <t>Tērauda logu restes</t>
  </si>
  <si>
    <t>Tērauda slietnes, platums - 700mm</t>
  </si>
  <si>
    <t>Tērauda margas (h - 1m)</t>
  </si>
  <si>
    <t>Tērauda ūdens tvērtņu (~12 m3 katra) demontāža 4. stāvā, ieskaitot tērauda apakškonstrukciju</t>
  </si>
  <si>
    <t xml:space="preserve">ŪK tīklu demontāža un utilizācija, iesk. santehniku, jumta teknes un notekas </t>
  </si>
  <si>
    <t>Esošo AVK tīklu demontāža un utilizācija, iesk. esošās ventilācijas iekārtas pagalmā</t>
  </si>
  <si>
    <t>Elektroapgādes tīklu demontāža un utilizācija</t>
  </si>
  <si>
    <t>Vājstrāvu sistēmu demontāža un utilizācija</t>
  </si>
  <si>
    <t>Būvgružu utilizēšana</t>
  </si>
  <si>
    <t>Grunts izrakšana</t>
  </si>
  <si>
    <t>Grunts aizbēršana pēc pamatu betonēšanas darbiem ar jaunpievesto smalko smilti</t>
  </si>
  <si>
    <t>Liekās grunts izvešana, utilizācija</t>
  </si>
  <si>
    <t>Gruntsūdens atsūknēšana no lifta bedres, orientējošs laiks -10 dienām, platība -10 m2.</t>
  </si>
  <si>
    <t>PĀĻI</t>
  </si>
  <si>
    <t>Pāļu tehnikas mobilizācija</t>
  </si>
  <si>
    <t>Pāļu izbūve, d=250mm, L=4.25m</t>
  </si>
  <si>
    <t>Pāļu statiskā pārbaude</t>
  </si>
  <si>
    <t>Pāļu galu nociršana</t>
  </si>
  <si>
    <t>Pāļu galu hidroizolācija</t>
  </si>
  <si>
    <t>Pāļu tehnikas demobilizācija</t>
  </si>
  <si>
    <t>Pamati MR1, MR2, MR3, MR4, MR5</t>
  </si>
  <si>
    <t>Šķembu kārtas izveide (fr. 0-450 b=200mm</t>
  </si>
  <si>
    <t>Bentonītmāla paklāja ieklāšana</t>
  </si>
  <si>
    <t>Bentonītmāla lentu 20x20 uzstādīšana</t>
  </si>
  <si>
    <t>Betona sagatavošanas kārta (betons C8/10) b=100mm</t>
  </si>
  <si>
    <t>Konstrukciju betonēšana, betons C30/37,xc2, iestrādājot ar sūkni, ieskaitot veidņu montāžu, demontāžu, nomu</t>
  </si>
  <si>
    <t>Stiegrošana ar armatūras stiegrām d=12mm, klase B500B</t>
  </si>
  <si>
    <t>Stiegrošana ar armatūras stiegrām d=10mm, klase B500B</t>
  </si>
  <si>
    <t>Hidroizolācijas izveide</t>
  </si>
  <si>
    <t>Horizontālā hidroizolācija PM-1 (nivoplan plus ar planicrete h=500mm, virsmas izlīdzinošais sastāvs pirms hidroizolācijas izveides, planiseal 88 h=500mm, map antique I, mūri pastiprinoša injekcijas sastāvs, mapestop PL, mikroemulsijas injekciju sastāvs horizontalās hidroizolācijas izveidei, pēc injekcijas urbumus aizpildīt ar mape antique MC ar kvarca smiltīm)</t>
  </si>
  <si>
    <t>Vertikālā hidroizolācija ( ārējā): nivoplan plus ar planicrete, virsmas izlīdzinošais sastāvs pirms hidroizolācijas izveides, mapelastic, īpaši elastīga cementa bāzes divkomponentu hidroizolācija</t>
  </si>
  <si>
    <t>Vertikālā hidroizolācija ( ārējā pagraba logu šahtām) mapelastic, īpaši elastīga cementa bāzes divkomponentu hidroizolācija</t>
  </si>
  <si>
    <t>Horizontālā hidroizolācija PM-2 (nivoplan plus ar planicrete h=500mm, virsmas izlīdzinošais sastāvs pirms hidroizolācijas izveides, planiseal 88 h=500mm, map antique I, mūri pastiprinoša injekcijas sastāvs, mapestop PL, mikroemulsijas injekciju sastāvs horizontalās hidroizolācijas izveidei, pēc injekcijas urbumus aizpildīt ar mape antique MC ar kvarca smiltīm)</t>
  </si>
  <si>
    <t>Vertikālā hidroizolācija ( iekšējā): grunts primer 3296, mapelastic foundation</t>
  </si>
  <si>
    <t>Horizontālā hidroizolācija PM-3 (nivoplan plus ar planicrete h=500mm, virsmas izlīdzinošais sastāvs pirms hidroizolācijas izveides, planiseal 88 h=500mm, map antique I, mūri pastiprinoša injekcijas sastāvs, mapestop PL, mikroemulsijas injekciju sastāvs horizontalās hidroizolācijas izveidei, pēc injekcijas urbumus aizpildīt ar mape antique MC ar kvarca smiltīm)</t>
  </si>
  <si>
    <t>Horizontālā hidroizolācija PM-4 (nivoplan plus ar planicrete h=500mm, virsmas izlīdzinošais sastāvs pirms hidroizolācijas izveides, planiseal 88 h=500mm, map antique I, mūri pastiprinoša injekcijas sastāvs, mapestop PL, mikroemulsijas injekciju sastāvs horizontalās hidroizolācijas izveidei, pēc injekcijas urbumus aizpildīt ar mape antique MC ar kvarca smiltīm)</t>
  </si>
  <si>
    <t>Vertikālo urbumu izolācija (nivoplan plus ar planicrete h=500mm, virsmas izlīdzinošais sastāvs pirms hidroizolācijas izveides, planiseal 88 h=500mm, map antique I, mūri pastiprinoša injekcijas sastāvs, mapestop PL, mikroemulsijas injekciju sastāvs horizontalās hidroizolācijas izveidei, pēc injekcijas urbumus aizpildīt ar mape antique MC ar kvarca smiltīm)</t>
  </si>
  <si>
    <t>Horizontālā hidroizolācija PM-5 (nivoplan plus ar planicrete h=500mm, virsmas izlīdzinošais sastāvs pirms hidroizolācijas izveides, planiseal 88 h=500mm, map antique I, mūri pastiprinoša injekcijas sastāvs, mapestop PL, mikroemulsijas injekciju sastāvs horizontalās hidroizolācijas izveidei, pēc injekcijas urbumus aizpildīt ar mape antique MC ar kvarca smiltīm)</t>
  </si>
  <si>
    <t>Tvaika izolācijas plēve (pagraba logu šahtu grīdas)</t>
  </si>
  <si>
    <t>Metāla konstrukcijas</t>
  </si>
  <si>
    <t>Metāla siju izgatavošana, gruntēšana, montāža, krāsošana</t>
  </si>
  <si>
    <t>metāla profils IPE300 (tērauda klase S355; krāsotas atbilstoši bk rasējumu prasībām)</t>
  </si>
  <si>
    <t>metāla profils IPE240 (tērauda klase S355; krāsotas atbilstoši bk rasējumu prasībām)</t>
  </si>
  <si>
    <t>metāla profils HEA260 (tērauda klase S355; krāsotas atbilstoši bk rasējumu prasībām)</t>
  </si>
  <si>
    <t>metāla loksnes (tērauda klase S355; krāsotas atbilstoši bk rasējumu prasībām)</t>
  </si>
  <si>
    <t>Metāla kolonnu izgatavošana, gruntēšana, montāža, krāsošana</t>
  </si>
  <si>
    <t>metāla profils CFRHS100*100*5 (tērauda klase S355; krāsotas atbilstoši bk rasējumu prasībām)</t>
  </si>
  <si>
    <t>Metāla pārsedžu izgatavošana, gruntēšana, montāža, krāsošana, apvilkšana ar sietu, apmešana</t>
  </si>
  <si>
    <t>metāla profils UPN120 (tērauda klase S355; krāsotas atbilstoši bk rasējumu prasībām)</t>
  </si>
  <si>
    <t>metāla profils UPN140 (tērauda klase S355; krāsotas atbilstoši bk rasējumu prasībām)</t>
  </si>
  <si>
    <t>metāla profils UPN220 (tērauda klase S355; krāsotas atbilstoši bk rasējumu prasībām)</t>
  </si>
  <si>
    <t>stiegras d10 B500B</t>
  </si>
  <si>
    <t>vītņu stienis M16</t>
  </si>
  <si>
    <t>metāla siets, apmetuma java</t>
  </si>
  <si>
    <t>Sienas, pārsedzes, dz/b joslas</t>
  </si>
  <si>
    <t>Sienas CW1, CW2</t>
  </si>
  <si>
    <t>Sienu CW1, CW2 stiegrošana</t>
  </si>
  <si>
    <t>stiegras d12 B500B</t>
  </si>
  <si>
    <t>Sienu CW1 CW2 betonēšana, ieskaitot veidņošanas darbus (Betons C30/37)</t>
  </si>
  <si>
    <t>Dz/b gaismas logi GL1, GL2, GL3, GL4, GL5</t>
  </si>
  <si>
    <t>Dz/b gaismas logu GL1, GL2, GL3, GL4, GL5 stiegrošana</t>
  </si>
  <si>
    <t>Dz/b gaismas logu GL1, GL2, GL3, GL4, GL5 betonēšana, ieskaitot veidņošanas darbus (Betons C30/37)</t>
  </si>
  <si>
    <t>Fibo pārsedzes pagrabstāva</t>
  </si>
  <si>
    <t>Fibo pārsedžu montāža, 185*250*1790mm</t>
  </si>
  <si>
    <t>Fibo pārsedzes 1.stāva</t>
  </si>
  <si>
    <t>Fibo pārsedžu montāža, 185*250*2090mm</t>
  </si>
  <si>
    <t>Fibo pārsedžu montāža, 185*250*1490mm</t>
  </si>
  <si>
    <t>Fibo pārsedžu montāža, 185*250*1190mm</t>
  </si>
  <si>
    <t>Fibo pārsedzes 2.stāva</t>
  </si>
  <si>
    <t>Fibo pārsedzes 3.stāva</t>
  </si>
  <si>
    <t>Fibo pārsedzes 4.stāva</t>
  </si>
  <si>
    <t xml:space="preserve">Monolītās dz/b joslas </t>
  </si>
  <si>
    <t>Monolīto joslu stiegrošana</t>
  </si>
  <si>
    <t>stiegras d6 B500B</t>
  </si>
  <si>
    <t>Monolīto joslu betonēšana (C25/30), ieskaitot veidņošanas darbus</t>
  </si>
  <si>
    <t>Pārseguma izbūve</t>
  </si>
  <si>
    <t>Pagraba pārsegums</t>
  </si>
  <si>
    <t>Saliekamo dz/b pārseguma paneļu PP-1 montāža</t>
  </si>
  <si>
    <t>pārseguma paneļi, b=200mm</t>
  </si>
  <si>
    <t>palīgmateriāli, neoprēna lente</t>
  </si>
  <si>
    <t>Pārseguma paneļu PP-1 šuvju stiegrošana ar armatūras stiegrām d=12mm, klase B500B</t>
  </si>
  <si>
    <t>Pārseguma paneļu PP-1 šuvju monolitizēšana (betons C30/37)</t>
  </si>
  <si>
    <t>1.stāva pārsegums</t>
  </si>
  <si>
    <t>Saliekamo dz/b pārseguma paneļu montāža</t>
  </si>
  <si>
    <t>Pirmā stāva pārseguma MP-1 betonēšana, betons C30/37, iestrādājot ar sūkni, ieskaitot veidņu montāžu, demontāžu, nomu</t>
  </si>
  <si>
    <t>Pirmā stāva pārseguma MP-1 stiegrošana ar armatūras stiegrām d=12mm, klase B500B</t>
  </si>
  <si>
    <t>Stiegrojuma montāža dz/b spilvenam</t>
  </si>
  <si>
    <t>Spilvenu betonēšana (C30/37)</t>
  </si>
  <si>
    <t>4.stāva pārsegums</t>
  </si>
  <si>
    <t>Ceturtā stāva pārseguma MP-2, MP-3 betonēšana, betons C30/37, iestrādājot ar sūkni, ieskaitot veidņu montāžu, demontāžu, nomu</t>
  </si>
  <si>
    <t>Ceturtā stāva pārseguma MP-2, MP-3 stiegrošana ar armatūras stiegrām d=12mm, klase B500B</t>
  </si>
  <si>
    <t>Lifta plātnes MP-4 betonēšana, betons C30/37, iestrādājot ar sūkni, ieskaitot veidņu montāžu, demontāžu, nomu</t>
  </si>
  <si>
    <t>Lifta plātnes MP-4 stiegrošana ar armatūras stiegrām d=12mm, 20mm, klase B500B</t>
  </si>
  <si>
    <t>Pārseguma klājs</t>
  </si>
  <si>
    <t>Ruukki nesoša profila montāža (T70-57L-1058-10)</t>
  </si>
  <si>
    <t>Saplākšņa montāža (b=20mm)</t>
  </si>
  <si>
    <t>Kāpņu K-1,K-3 izbūve</t>
  </si>
  <si>
    <t>Metāla kāpņu K-1 izgatavošana, gruntēšana, montāža, krāsošana</t>
  </si>
  <si>
    <t>metāla profils UPN160 (tērauda klase S355; krāsotas atbilstoši bk rasējumu prasībām)</t>
  </si>
  <si>
    <t>metāla leņķprofils L100*10 (tērauda klase S355; krāsotas atbilstoši bk rasējumu prasībām)</t>
  </si>
  <si>
    <t>metāla profils IPE160 (tērauda klase S355; krāsotas atbilstoši bk rasējumu prasībām)</t>
  </si>
  <si>
    <t>Kāpņu K-1 betonēšana, betons C30/37 XC1, iestrādājot ar sūkni, ieskaitot veidņu montāžu, demontāžu, nomu</t>
  </si>
  <si>
    <t>Kāpņu K-1 stiegrošana ar armatūras stiegrām d=10mm, klase B500B</t>
  </si>
  <si>
    <t>Metāla kāpņu K-3 izgatavošana, gruntēšana, montāža, krāsošana</t>
  </si>
  <si>
    <t>Kāpņu K-3 betonēšana, betons C30/37 XC1, iestrādājot ar sūkni, ieskaitot veidņu montāžu, demontāžu, nomu</t>
  </si>
  <si>
    <t>Kāpņu K-3 stiegrošana ar armatūras stiegrām d=10mm, klase B500B</t>
  </si>
  <si>
    <t>Koka konstrukcijas</t>
  </si>
  <si>
    <t>Nesošo koka konstrukciju montāža</t>
  </si>
  <si>
    <t>koka mūrlata 100*100mm</t>
  </si>
  <si>
    <t>koka spāres 100*200mm</t>
  </si>
  <si>
    <t>koka spāres 75*150mm</t>
  </si>
  <si>
    <t>koka spāres 100*200mm (nomaiņai)</t>
  </si>
  <si>
    <t xml:space="preserve">Jumts </t>
  </si>
  <si>
    <t>Jumts J-1</t>
  </si>
  <si>
    <t>Siltumizolācijas ieklāšana,b=100mm, Kingspan Therma T10</t>
  </si>
  <si>
    <t>Difūzijas membŗanas ieklāšana</t>
  </si>
  <si>
    <t>Koka latojums, 25*75mm</t>
  </si>
  <si>
    <t>Koka latojums, 25*100mm, solis s=160mm</t>
  </si>
  <si>
    <t>Ruukki valcprofila ieklāšana</t>
  </si>
  <si>
    <t>Griestu apšuvums ar Fireboard loksnēm, ieskaitot šuvju špaktēlēšanu</t>
  </si>
  <si>
    <t>Jumts J-2</t>
  </si>
  <si>
    <t>Betona klona grīdas (pēc estrich tehnoloģijas), b=40-240mm</t>
  </si>
  <si>
    <t>Polietilēna plēves ieklāšana</t>
  </si>
  <si>
    <t>PVC jumta hidroizolācijas membrānas ieklāšana, Protan SE, b=1.6mm</t>
  </si>
  <si>
    <t>Jumts J-3</t>
  </si>
  <si>
    <t>Parapets (Siena S-20)</t>
  </si>
  <si>
    <t>Parapetu siltumizolācija (EPS60, b=80mm)</t>
  </si>
  <si>
    <t>Parapetu siltumizolācija (EPS60, b=50mm)</t>
  </si>
  <si>
    <t>Parapetu apšuvums ar mitrumizturīgo saplāksni, ieskaitot koka latojumu</t>
  </si>
  <si>
    <t>Protan sistēmas stūrīšu montāža</t>
  </si>
  <si>
    <t>Parapetu apšuvums ar skārdu</t>
  </si>
  <si>
    <t>Parapets (Siena S-21)</t>
  </si>
  <si>
    <t>Siltumizolācijas ieklāšana,b=150mm, Kingspan Therma T10</t>
  </si>
  <si>
    <t>Parapets (Siena S-22)</t>
  </si>
  <si>
    <t>Parapets (Siena S-23)</t>
  </si>
  <si>
    <t>Jumta aprīkojums</t>
  </si>
  <si>
    <t>Sniega barjeru montāža (cauruļtipa Ruukki vai analogs, stiprinājuma solis 600mm)</t>
  </si>
  <si>
    <t>Drošības trošu sistēma ar kronšteiniem, piem. Ruukki, ABS vai analogs</t>
  </si>
  <si>
    <t>Horizontālās lietusūdens teknes</t>
  </si>
  <si>
    <t>Vertikālās lietusūdens notekas</t>
  </si>
  <si>
    <t>Jumta lūkas montāža, 600*800mm</t>
  </si>
  <si>
    <t>Slietnes montāža, h=1.4m</t>
  </si>
  <si>
    <t>Metāla malas virs starpdzegas</t>
  </si>
  <si>
    <t>Skārda skursteņu jumti</t>
  </si>
  <si>
    <t>Sastatnes</t>
  </si>
  <si>
    <t>Sastatņu montāža, ieskaitot aizsargtīklu montāžu</t>
  </si>
  <si>
    <t>Sastatņu noma</t>
  </si>
  <si>
    <t>Sastatņu demontāža</t>
  </si>
  <si>
    <t xml:space="preserve">Fasādes darbi  </t>
  </si>
  <si>
    <t>Cokols (sienas S-8)</t>
  </si>
  <si>
    <t>Hidroizolācijas izveide (bituma emulsija Weber tec901, bituma līmjava Weberetec superflex)</t>
  </si>
  <si>
    <t>Cokola siltināšana ar ekstrudēto putupolistirolu , b=100mm (Dow styrofoam 250 SL-AN 100mm vai analogs)</t>
  </si>
  <si>
    <t>Virsmas armēšana ar stiklšķiedras sietu</t>
  </si>
  <si>
    <t>Cokols (sienas S-9)</t>
  </si>
  <si>
    <t>Cokola siltināšana ar ekstrudēto putupolistirolu , b=50mm (Dow styrofoam 250 SL-AN 50mm vai analogs)</t>
  </si>
  <si>
    <t>Cokols (sienas S-10)</t>
  </si>
  <si>
    <t>Pamatu apmešana, 10-20mm</t>
  </si>
  <si>
    <t>Cokols (siena S-11)</t>
  </si>
  <si>
    <t>Cokols (sienas S-16)</t>
  </si>
  <si>
    <t>Cokols (sienas S-17)</t>
  </si>
  <si>
    <t>Hidroizolācijas izveide (bituma emeulsija Weber tec901, bituma līmjava Weberetec superflex)</t>
  </si>
  <si>
    <t>Cokols (siena S-24)</t>
  </si>
  <si>
    <t>Cokola siltināšana ar ekstrudēto putupolistirolu , b=50mm (Dow styrofoam 250 SL-AN 100mm vai analogs)</t>
  </si>
  <si>
    <t>Siena S-14</t>
  </si>
  <si>
    <t>Alumīnija apakškonstrukcijas izbūve</t>
  </si>
  <si>
    <t>Siltumizolācijas izbūve (Paroc extra 150mm)</t>
  </si>
  <si>
    <t>Vēja izolācijas izbūve (Paroc Cortex b, b=30mm)</t>
  </si>
  <si>
    <t>Siena S-14A</t>
  </si>
  <si>
    <t>Siltumizolācijas izbūve (Paroc extra 50mm)</t>
  </si>
  <si>
    <t>Siena S-15</t>
  </si>
  <si>
    <t>Sienas S-18</t>
  </si>
  <si>
    <t>Fasādes siltināšana ar akmens vati, 150mm</t>
  </si>
  <si>
    <t>Fasādes apdare ar dekoratīvo apmetumu (krasots masā)</t>
  </si>
  <si>
    <t>Siena S-20</t>
  </si>
  <si>
    <t>Siena S-22</t>
  </si>
  <si>
    <t>Siena S-23</t>
  </si>
  <si>
    <t xml:space="preserve">Fasādes apdare </t>
  </si>
  <si>
    <t>Cokola apmešana, krāsošana</t>
  </si>
  <si>
    <t>Atjaunots vēsturiskais ķieģeļu mūris (Saskaņā ar rasējumiem AR_113-21, AR_113-22, AR_113-23, AR_113-24 tehnoloģijas apraksts: plaisu aizpildīšana ar remmers spirālenkuru sistēmu, ķieģeļu mūra atjaunošana, t.sk. Fasādes attīrīšana, izdrupušās ķieģēļu daļas atjaunošna ar remmers restauriermortel restaurēšanas javu, šuves starp ķieģēliem ir jāizšuvo ar remmers fugenmortel šuvju aizpildīšanas javu, mūra apstrādi ar remmers funosil fc hidrofobizējošo materiālu)</t>
  </si>
  <si>
    <t>Fasādes apdare ar Swisspearl loksnēm (neperforētās)</t>
  </si>
  <si>
    <t>Fasādes apdare ar Swisspearl loksnēm (perforētās)</t>
  </si>
  <si>
    <t>Fasādes durvju aiļu apdare ar Swisspearl loksnēm (neperforētās)</t>
  </si>
  <si>
    <t>Siena S-1</t>
  </si>
  <si>
    <t xml:space="preserve">Reģipša starpsienu izbūve, b=150mm (UW100, MW100 karkass, Paroc extra 80mm, 2 Knauf blue reģipša kārtas no katras puses, šuvju špaktēlēšana ar Uniflot špakteli) </t>
  </si>
  <si>
    <t>Siena S-1A</t>
  </si>
  <si>
    <t xml:space="preserve">Reģipša starpsienu izbūve, b=150mm (UW100, CW100 karkass, Paroc extra 80mm, 2 Knauf blue reģipša kārtas no vienas puses un 2 GKF reģipša kārtas no otras puses, šuvju špaktēlēšana ar Uniflot špakteli) </t>
  </si>
  <si>
    <t>Siena S-2</t>
  </si>
  <si>
    <t xml:space="preserve">Reģipša starpsienu izbūve, b=150mm (UW100, MW100 karkass, Paroc extra 80mm, 2 Knauf blue reģipša kārtas no vienas puses un 2 GKBI reģipša kārtas no otras puses, šuvju špaktēlēšana ar Uniflot špakteli) </t>
  </si>
  <si>
    <t>Siena S-3</t>
  </si>
  <si>
    <t xml:space="preserve">Reģipša starpsienu izbūve, b=150mm (UW100, CW100 karkass, Paroc extra 80mm, 2 GKBI reģipša kārtas no vienas puses un 2 GKBI reģipša kārtas no otras puses, šuvju špaktēlēšana ar Uniflot špakteli) </t>
  </si>
  <si>
    <t>Siena S-4</t>
  </si>
  <si>
    <t>Sienu apšuvums ar GKBI reģipsi (UW, CW karkass 75mm, Paroc extra 60mm, 2*GKBI, ieskaitot šuvju špaktēlēšanu)</t>
  </si>
  <si>
    <t>Siena S-5</t>
  </si>
  <si>
    <t xml:space="preserve">Reģipša starpsienu izbūve, b=205mm (2*UW75, CW75 karkass, Paroc extra 2*60mm, 2 GKBI reģipša kārtas no vienas puses un 2 GKBI reģipša kārtas no otras puses, šuvju špaktēlēšana ar Uniflot špakteli) </t>
  </si>
  <si>
    <t>Siena S-5A</t>
  </si>
  <si>
    <t xml:space="preserve">Reģipša starpsienu izbūve, b=205mm (2*UW75, CW75 karkass, Paroc extra 2*60mm, 2 Knauf blue reģipša kārtas no vienas puses un 2 Knauf Blue reģipša kārtas no otras puses, šuvju špaktēlēšana ar Uniflot špakteli) </t>
  </si>
  <si>
    <t>Siena S-5B</t>
  </si>
  <si>
    <t xml:space="preserve">Reģipša starpsienu izbūve, b=205mm (2*UW75, CW75 karkass, Paroc extra 2*60mm, 2 Knauf blue reģipša kārtas no vienas puses un 2 Knauf GKBI reģipša kārtas no otras puses, šuvju špaktēlēšana ar Uniflot špakteli) </t>
  </si>
  <si>
    <t>Siena S-6</t>
  </si>
  <si>
    <t>Keramzītbetona bloku sienu mūrēšana, b-200mm (5Mpa), ieskaitot mūrjavu, stiegras, palīgmateriālus</t>
  </si>
  <si>
    <t>Sienu S-6 apmešana no abām pusēm, b=10mm</t>
  </si>
  <si>
    <t>Siena S-6A</t>
  </si>
  <si>
    <t>Keramzītbetona bloku sienu mūrēšana, b-250mm (5Mpa), ieskaitot mūrjavu, stiegras, palīgmateriālus</t>
  </si>
  <si>
    <t>Sienu S-6a apmešana no abām pusēm, b=10mm</t>
  </si>
  <si>
    <t>Siena S-6B</t>
  </si>
  <si>
    <t>Sienu S-6b apmešana no abām pusēm, b=10mm</t>
  </si>
  <si>
    <t>Sienu apšuvums ar 2*Knauf blue loksnēm (UW, CW karkass 75mm, Paroc extra 60mm)</t>
  </si>
  <si>
    <t>Siena S-13</t>
  </si>
  <si>
    <t>Sienu S-13 siltumizolācija no iekšpuses (Finnfoam FF-PIR, 40mm)</t>
  </si>
  <si>
    <t>Sienu S-13 armešana ar stiklšķiedras sietu (no iekšpuses)</t>
  </si>
  <si>
    <t>Sienu S-14 apmešana no abām pusēm, b=10mm</t>
  </si>
  <si>
    <t>Sienu S-14A apmešana no abām pusēm, b=10mm</t>
  </si>
  <si>
    <t>Sienu S-15 apmešana no abām pusēm, b=10mm</t>
  </si>
  <si>
    <t>Siena S-18</t>
  </si>
  <si>
    <t>Keramzītbetona bloku sienu mūrēšana, b-150mm (3Mpa), ieskaitot mūrjavu, stiegras, palīgmateriālus</t>
  </si>
  <si>
    <t>Sienu S-18 apmešana no abām pusēm, b=10mm</t>
  </si>
  <si>
    <t>Siena S-19</t>
  </si>
  <si>
    <t>Sienu S-19 siltumizolācija no iekšpuses (Finnfoam FF-PIR, 40mm)</t>
  </si>
  <si>
    <t>Sienu S-19 armešana ar stiklšķiedras sietu (no iekšpuses)</t>
  </si>
  <si>
    <t>Sienu S-20 apmešana no abām pusēm, b=10mm</t>
  </si>
  <si>
    <t>Siena S-21</t>
  </si>
  <si>
    <t>Sienu S-22 apmešana no abām pusēm, b=10mm</t>
  </si>
  <si>
    <t>Sienu S-23 apmešana no abām pusēm, b=10mm</t>
  </si>
  <si>
    <t>Siena S-25</t>
  </si>
  <si>
    <t>Sienu apšuvums ar 2*fireboard loksnēm (UW, CW karkass 75mm, Paroc extra 60mm)</t>
  </si>
  <si>
    <t>Siena S-26</t>
  </si>
  <si>
    <t>Sienu S-26 apmešana no vienas puses</t>
  </si>
  <si>
    <t>Siena S-26*</t>
  </si>
  <si>
    <t>Sienu S-26* apmešana no vienas puses (Poromap intonaco)</t>
  </si>
  <si>
    <t>Stiklotā starpsiena SS-1</t>
  </si>
  <si>
    <t>Stiloto starpsienu montāža, 6660*2000mm (Sapa SFB050)</t>
  </si>
  <si>
    <t>Kāpņu K-1 apdare</t>
  </si>
  <si>
    <t>Firmas "Pamats" betona pakāpiens Nr.4, 150*300*1060mm ar taisnu sānu malu, ar epoksīdsvēķu bāzes paklājumu</t>
  </si>
  <si>
    <t>Firmas "Pamats" betona pakāpiens Nr.4, 162*306*1060mm ar taisnu sānu malu, ar epoksīdsvēķu bāzes paklājumu</t>
  </si>
  <si>
    <t>Firmas "Pamats" betona pakāpiens Nr.4, 162*300*1060mm ar taisnu sānu malu, ar epoksīdsvēķu bāzes paklājumu</t>
  </si>
  <si>
    <t>Abrazīvās pretslīdes lente ASB Safe izbūve uz esošajiem betona pakāpineim</t>
  </si>
  <si>
    <t>Betona pakāpienu virsmas izlīdzīnāšana un  apstrāde ar ūdens bāzes epoksīda pārklājumu</t>
  </si>
  <si>
    <t>Kāpņu laukuma  flīzēšana, šuvošana (akmens masas flīzes Agrob Buchtal Pural 2113)</t>
  </si>
  <si>
    <t>Vieglbetona izlīdzīnoša kārta</t>
  </si>
  <si>
    <t>EPS putupolistirols izlīdzīnāšanai</t>
  </si>
  <si>
    <t>Kāpņu telpu sienu špaktēlēšana, krāsošana ar dispersija krāsu 2 kārtās (tonis NCS S 0300-N)</t>
  </si>
  <si>
    <t>Kāpņu telpu sienu špaktēlēšana, krāsošana ar dispersija krāsu 2 kārtās (tonis NCS S 3500-N)</t>
  </si>
  <si>
    <t>Kāpņu sānu špaktēlēšana un krāsošana ar epoksīdsveķu bāzes pārklājumu Mapei Mapecoat I</t>
  </si>
  <si>
    <t>Kāpņu griestu, sānu un apakšējo daļu špaktēlēšana,  krāsošana</t>
  </si>
  <si>
    <t>Kāpņu apšuvums ar Knauf GKF 12.5mm plāksnēm+GKB 9.5mm, ieskaitot virsmas šapktēlešanu un krāsošanu</t>
  </si>
  <si>
    <t>Braila raksta plāksnītes</t>
  </si>
  <si>
    <t>Stāva norādes</t>
  </si>
  <si>
    <t>Slietnes (BKUS_BP_AR_260-01-K1)</t>
  </si>
  <si>
    <t>Slietņu KS-2 montāža, 700*2730mm</t>
  </si>
  <si>
    <t>Kāpņu K-2 apdare</t>
  </si>
  <si>
    <t>Kāpņu griestu špaktēlēšana,  krāsošana</t>
  </si>
  <si>
    <t>Kāpņu K-3 apdare</t>
  </si>
  <si>
    <t>Firmas "Pamats" betona pakāpiens Nr.4, 155*295*1100mm ar taisnu sānu malu, ar epoksīdsvēķu bāzes paklājumu</t>
  </si>
  <si>
    <t>Firmas "Pamats" betona pakāpiens Nr.4, 155*300*1100mm ar taisnu sānu malu, ar epoksīdsvēķu bāzes paklājumu</t>
  </si>
  <si>
    <t>Firmas "Pamats" betona pakāpiens Nr.4, 155*295*1270mm ar taisnu sānu malu, ar epoksīdsvēķu bāzes paklājumu</t>
  </si>
  <si>
    <t>Lievenis ĀK-1</t>
  </si>
  <si>
    <t>Firmas "Pamats" betona pakāpiens Nr.4, 150*300*1950mm; profilētas sānu malas</t>
  </si>
  <si>
    <t>Firmas "Pamats" betona pakāpiens Nr.4, 150*300*300mm; taisnas sānu malas</t>
  </si>
  <si>
    <t>Šķembu kārtas izveide</t>
  </si>
  <si>
    <t>Konstrukciju betonēšana, betons C25/30, xc2, iestrādājot ar sūkni, ieskaitot veidņu montāžu, demontāžu, nomu un stiegrojuma sieta montāzu d12, acs 200*200mm</t>
  </si>
  <si>
    <t>Slīpumu veidojšais slānis (Betons C8/10, stiegrojums d12, acs 200*200)</t>
  </si>
  <si>
    <t>Sālizturīgā kārta, 20mm</t>
  </si>
  <si>
    <t>Betona bruģa ieklāšana, 198*198*60mm</t>
  </si>
  <si>
    <t>Lievenis ĀK-2</t>
  </si>
  <si>
    <t>Firmas "Pamats" betona pakāpiens Nr.4, 150*330*1250mm; taisnas sānu malas</t>
  </si>
  <si>
    <t>Firmas "Pamats" betona pakāpiens Nr.4, 150*300*1250mm; taisnas sānu malas</t>
  </si>
  <si>
    <t>Betona atbalstsienas betonēšana (C25/30)</t>
  </si>
  <si>
    <t>Betona sienu krāsojums</t>
  </si>
  <si>
    <t xml:space="preserve">Cinkota-krāsota metāla marga (RAL 7024) H=700 mm, statņu solis 550 un 770 mm, ar horizontālu trosu dalījumu. </t>
  </si>
  <si>
    <t>Lievenis ĀK-3</t>
  </si>
  <si>
    <t>Firmas "Pamats" betona pakāpiens Nr.4, 150*330*2040mm; taisnas sānu malas</t>
  </si>
  <si>
    <t>Firmas "Pamats" betona pakāpiens Nr.4, 150*300*2040mm; taisnas sānu malas</t>
  </si>
  <si>
    <t xml:space="preserve">Cinkota-krāsota metāla marga (RAL 7024) H=700 mm, statņu solis 550 un 615 mm, ar horizontālu trosu dalījumu. </t>
  </si>
  <si>
    <t>Lievenis ĀK-4</t>
  </si>
  <si>
    <t>Firmas "Pamats" betona pakāpiens Nr.4, 150*330*3200mm; taisnas sānu malas</t>
  </si>
  <si>
    <t>Firmas "Pamats" betona pakāpiens Nr.4, 150*300*3200mm; taisnas sānu malas</t>
  </si>
  <si>
    <t>Alumīnija rāmī iebūvēts kājslauķis Forbo Nuway</t>
  </si>
  <si>
    <t xml:space="preserve">Cinkota-krāsota metāla marga (RAL 7024) H=700 mm, statņu solis 1000 mm, ar horizontālu trosu dalījumu. </t>
  </si>
  <si>
    <t>Kāpņu K-3 margas</t>
  </si>
  <si>
    <t>Atjaunojamā esošā margu dekoratīvā metāla detaļa (krāsots palkandzelzs L=930mm)</t>
  </si>
  <si>
    <t>Atjaunojama esošā margu dekoratīvā metāla detaļa, krāsots plakandzelzs</t>
  </si>
  <si>
    <t>Atjaunojamā esošā koka marga 50*60mm</t>
  </si>
  <si>
    <t>Projektējama vertikāla margu metāla detaļa, krāsots cinkots kvadrātstienis, 20*20*940mm</t>
  </si>
  <si>
    <t>Projektējama vertikāla margu metāla detaļa, krāsots cinkots kvadrātstienis, 20*20*1025mm</t>
  </si>
  <si>
    <t>Projektējama vertikāla margu metāla detaļa, krāsots cinkots kvadrātstienis, 20*20*1035mm</t>
  </si>
  <si>
    <t>Projektējama metāla detaļa, krāsots cinkots plakandzelzs 10*20mm</t>
  </si>
  <si>
    <t>Projektējama koka marga 50*60mm</t>
  </si>
  <si>
    <t>Kāpņu K-2 margas</t>
  </si>
  <si>
    <t>Kāpņu K-1 margas</t>
  </si>
  <si>
    <t>Atjaunojamā esošā margu dekoratīvā metāla detaļa (krāsots palkandzelzs L=830mm)</t>
  </si>
  <si>
    <t>Projektējama vertikāla margu metāla detaļa, krāsots cinkots kvadrātstienis, 20*20*1030mm</t>
  </si>
  <si>
    <t>Grīdas G-1</t>
  </si>
  <si>
    <t>Blietēta grunts</t>
  </si>
  <si>
    <t>Betona sagataves kārta B7.5, b=60mm</t>
  </si>
  <si>
    <t>Tvaika izolācijas ieklāšana</t>
  </si>
  <si>
    <t>Siltumizolācijas slāņa izveide, b=100mm (Dow styrofoam 250 SL-AN vai analogs)</t>
  </si>
  <si>
    <t>Betona kārtas izveide, b=110mm</t>
  </si>
  <si>
    <t>Pašizlīdzīnošā betona kārta</t>
  </si>
  <si>
    <t>Grīdas G-2</t>
  </si>
  <si>
    <t>Betona kārtas izveide, b=100mm</t>
  </si>
  <si>
    <t>Grīdas G-3</t>
  </si>
  <si>
    <t>Betona izlīdzīnošā kārta, b=50mm</t>
  </si>
  <si>
    <t>Skaņas izolācijas ieklāšana (minerālvates plāksnes, piemēram Isover FLO, 50mm)</t>
  </si>
  <si>
    <t>Betona klona grīdas (pēc estrich tehnoloģijas), b=58mm</t>
  </si>
  <si>
    <t>Grīdas G-4</t>
  </si>
  <si>
    <t>Betona klona grīdas (pēc estrich tehnoloģijas), b=50mm</t>
  </si>
  <si>
    <t>Hidroizolācijas izveide (piemēram Weber tec Superflex 10; divās kārtās)</t>
  </si>
  <si>
    <t>Grīdas G-5</t>
  </si>
  <si>
    <t>Grīdas G-6</t>
  </si>
  <si>
    <t>Saplākšņa pieskrūvēšana, b=21mm</t>
  </si>
  <si>
    <t>Grīdas G-7</t>
  </si>
  <si>
    <t>Grīdas G-8</t>
  </si>
  <si>
    <t>Skaņas izolācijas ieklāšana starp koka sijām, b=150mm</t>
  </si>
  <si>
    <t>Koka latojums, 50*50mm</t>
  </si>
  <si>
    <t>Finiera plāķšņu ieklāšana, ieskaitot deformācijas blīves</t>
  </si>
  <si>
    <t>Knauf brio 23 plākšņu montāža</t>
  </si>
  <si>
    <t>Grīdas G-9</t>
  </si>
  <si>
    <t>Grīdas G-10</t>
  </si>
  <si>
    <t>Skaņas izolācijas ieklāšana starp koka sijām, b=200mm</t>
  </si>
  <si>
    <t>Koka latojums, 50*100mm</t>
  </si>
  <si>
    <t>Dēļu klājs, 20*100mm</t>
  </si>
  <si>
    <t>Siltumizolācijas ieklāšana, Paroc ROB80, b=100mm</t>
  </si>
  <si>
    <t>Grīdas G-11</t>
  </si>
  <si>
    <t>Grīdas G-12</t>
  </si>
  <si>
    <t>Hidroizolācijas izveide Weber TEC901</t>
  </si>
  <si>
    <t>Grīdas G-13</t>
  </si>
  <si>
    <t>Siltumizolācijas ieklāšana (Rockwool superrock, b=250mm vai analogs)</t>
  </si>
  <si>
    <t>Grīdas G-14</t>
  </si>
  <si>
    <t>Grīdas G-15</t>
  </si>
  <si>
    <t>Siltumizolācijas ieklāšana (Paroc ROS30, 200mm vai analogs)</t>
  </si>
  <si>
    <t>Siltumizolācijas ieklāšana, Paroc ROB80, b=50mm</t>
  </si>
  <si>
    <t>Grīdas G-16</t>
  </si>
  <si>
    <t>Bēniņu koka laipas</t>
  </si>
  <si>
    <t>Bēniņu koka laipas (dēļu klājs 30x150 uz koka latām 30x60 ar soli 500)</t>
  </si>
  <si>
    <t>Durvis</t>
  </si>
  <si>
    <t>Gludas vienviru siltinātas koka ārdurvis ĀD1L, 900*2100mm (siltumcaurlaidības koeficents Uw=0.85W/m2K)</t>
  </si>
  <si>
    <t>Gludas divviru siltinātas koka ārdurvis ĀD2, 1550*2680mm (siltumcaurlaidības koeficents Uw=0.85W/m2K)</t>
  </si>
  <si>
    <t>Gludas divviru siltinātas koka ārdurvis ĀD3, 1550*2120mm (siltumcaurlaidības koeficents Uw=0.85W/m2K)</t>
  </si>
  <si>
    <t>Gludas divviru siltinātas koka ārdurvis ĀD4, 1550*2550mm (siltumcaurlaidības koeficents Uw=0.85W/m2K)</t>
  </si>
  <si>
    <t>Vienviru iekšdurvis D-2K, 1100*2100mm; gludas laminētas HPL durvis, izturīgas pret triecieniem</t>
  </si>
  <si>
    <t>Vienviru iekšdurvis D-2L, 1100*2100mm; gludas laminētas HPL durvis, izturīgas pret triecieniem</t>
  </si>
  <si>
    <t>Vienviru gludas tērauda iekšdurvis D3K, 1100*2100mm; EI 30</t>
  </si>
  <si>
    <t>Vienviru gludas tērauda iekšdurvis D4K, 1100*2100mm; EI 30</t>
  </si>
  <si>
    <t>Vienviru gludas tērauda iekšdurvis D4L, 1100*2100mm; EI 30</t>
  </si>
  <si>
    <t>Vienviru gludas tērauda iekšdurvis D5k, 11000*2100mm; EI 30; ieskaitot stiklojumu</t>
  </si>
  <si>
    <t>Vienviru iekšdurvis D-7K, 700*2100mm; gludas laminētas HPL durvis, izturīgas pret triecieniem</t>
  </si>
  <si>
    <t>Vienviru iekšdurvis D-7L, 700*2100mm; gludas laminētas HPL durvis, izturīgas pret triecieniem</t>
  </si>
  <si>
    <t>Vienviru iekšdurvis D-8K, 1100*2100mm; gludas laminētas HPL durvis, izturīgas pret triecieniem</t>
  </si>
  <si>
    <t>Vienviru iekšdurvis D-8L, 1100*2100mm; gludas laminētas HPL durvis, izturīgas pret triecieniem</t>
  </si>
  <si>
    <t>Vienviru gludas tērauda iekšdurvis D9L, 1100*2100mm; EI 30; ar krītošo slieksni</t>
  </si>
  <si>
    <t>Vienviru iekšdurvis D-10K, 900*2100mm; gludas laminētas HPL durvis, izturīgas pret triecieniem</t>
  </si>
  <si>
    <t>Vienviru iekšdurvis D-10L, 900*2100mm; gludas laminētas HPL durvis, izturīgas pret triecieniem</t>
  </si>
  <si>
    <t>Vienviru gludas tērauda iekšdurvis D11k, 900*2100mm; EI 30; ar krītošo slieksni</t>
  </si>
  <si>
    <t>Vienviru iekšdurvis D-12K, 900*2100mm; gludas laminētas HPL durvis, izturīgas pret triecieniem</t>
  </si>
  <si>
    <t>Vienviru iekšdurvis D-13L, 1100*2100mm; gludas laminētas HPL durvis, izturīgas pret triecieniem; ar stiklojumu</t>
  </si>
  <si>
    <t>Vienviru iekšdurvis D-14K, 1100*2100mm; gludas laminētas HPL durvis, izturīgas pret triecieniem</t>
  </si>
  <si>
    <t>Vienviru iekšdurvis D-14L, 1100*2100mm; gludas laminētas HPL durvis, izturīgas pret triecieniem</t>
  </si>
  <si>
    <t>Vienviru iekšdurvis D-15K, 900*2100mm; gludas laminētas HPL durvis, izturīgas pret triecieniem</t>
  </si>
  <si>
    <t>Vienviru iekšdurvis D-15L, 900*2100mm; gludas laminētas HPL durvis, izturīgas pret triecieniem</t>
  </si>
  <si>
    <t>Vienviru gludas tērauda iekšdurvis D16k, 1100*2100mm; EI 30; ar krītošo slieksni</t>
  </si>
  <si>
    <t>Divviru tērauda iekšdurvis DD1, 2100*2100mm; EI 30; ar stiklojumu, antipanikas rokturi</t>
  </si>
  <si>
    <t xml:space="preserve">Logi </t>
  </si>
  <si>
    <t>Koka  logu L-1 montāža, 1510*1750mm (trīskaršais stiklojums ar selektīvo pārklājumu, gāzes pildījumu; siltumcaurlaidības koeficents Uw=0.85W/m2K); ieskaitot iekšejo un ārējo palodžu uzstādīšanu</t>
  </si>
  <si>
    <t>Koka  logu L-1* montāža, 1510*1750mm (trīskaršais stiklojums ar selektīvo pārklājumu, gāzes pildījumu; siltumcaurlaidības koeficents Uw=0.85W/m2K); ieskaitot iekšejo un ārējo palodžu uzstādīšanu; EI30</t>
  </si>
  <si>
    <t>Koka  logu L-2 montāža, 1150*1900mm (trīskaršais stiklojums ar selektīvo pārklājumu, gāzes pildījumu; siltumcaurlaidības koeficents Uw=0.85W/m2K); ieskaitot iekšejo un ārējo palodžu uzstādīšanu</t>
  </si>
  <si>
    <t>Koka  logu L-2* montāža, 1150*1900mm (trīskaršais stiklojums ar selektīvo pārklājumu, gāzes pildījumu; siltumcaurlaidības koeficents Uw=0.85W/m2K); ieskaitot iekšejo un ārējo palodžu uzstādīšanu</t>
  </si>
  <si>
    <t>Koka  logu L-3 montāža, 480*1100mm (trīskaršais stiklojums ar selektīvo pārklājumu, gāzes pildījumu; siltumcaurlaidības koeficents Uw=0.85W/m2K); ieskaitot iekšejo un ārējo palodžu uzstādīšanu</t>
  </si>
  <si>
    <t>Koka  logu L-4 montāža, 540*1530mm (trīskaršais stiklojums ar selektīvo pārklājumu, gāzes pildījumu; siltumcaurlaidības koeficents Uw=0.85W/m2K); ieskaitot iekšejo un ārējo palodžu uzstādīšanu</t>
  </si>
  <si>
    <t>Koka  logu L-5 montāža, 540*1260mm (trīskaršais stiklojums ar selektīvo pārklājumu, gāzes pildījumu; siltumcaurlaidības koeficents Uw=0.85W/m2K); ieskaitot iekšejo un ārējo palodžu uzstādīšanu</t>
  </si>
  <si>
    <t>Koka  logu L-6 montāža, 580*1900mm (trīskaršais stiklojums ar selektīvo pārklājumu, gāzes pildījumu; siltumcaurlaidības koeficents Uw=0.85W/m2K); ieskaitot iekšejo un ārējo palodžu uzstādīšanu</t>
  </si>
  <si>
    <t>Koka  logu L-7 montāža, 520*1900mm (trīskaršais stiklojums ar selektīvo pārklājumu, gāzes pildījumu; siltumcaurlaidības koeficents Uw=0.85W/m2K); ieskaitot iekšejo un ārējo palodžu uzstādīšanu</t>
  </si>
  <si>
    <t>Koka  logu L-8 montāža, 710*1830mm (trīskaršais stiklojums ar selektīvo pārklājumu, gāzes pildījumu; siltumcaurlaidības koeficents Uw=0.85W/m2K); ieskaitot iekšejo un ārējo palodžu uzstādīšanu</t>
  </si>
  <si>
    <t>Koka  logu L-9 montāža, 1540*3960mm (trīskaršais stiklojums ar selektīvo pārklājumu, gāzes pildījumu; siltumcaurlaidības koeficents Uw=0.85W/m2K); ieskaitot iekšejo un ārējo palodžu uzstādīšanu</t>
  </si>
  <si>
    <t>Koka  logu L-10 montāža, 710*1855mm (trīskaršais stiklojums ar selektīvo pārklājumu, gāzes pildījumu; siltumcaurlaidības koeficents Uw=0.85W/m2K); ieskaitot iekšejo un ārējo palodžu uzstādīšanu</t>
  </si>
  <si>
    <t>Koka  logu L-11 montāža (neverams), 1000*2550mm (trīskaršais stiklojums ar selektīvo pārklājumu, gāzes pildījumu; siltumcaurlaidības koeficents Uw=0.85W/m2K); ieskaitot iekšejo un ārējo palodžu uzstādīšanu</t>
  </si>
  <si>
    <t>Koka  logu L-12 montāža, 1000*2550mm (trīskaršais stiklojums ar selektīvo pārklājumu, gāzes pildījumu; siltumcaurlaidības koeficents Uw=0.85W/m2K); ieskaitot iekšejo un ārējo palodžu uzstādīšanu</t>
  </si>
  <si>
    <t>Koka  logu L-13 montāža, 1250*1300mm (trīskaršais stiklojums ar selektīvo pārklājumu, gāzes pildījumu; siltumcaurlaidības koeficents Uw=0.85W/m2K); ieskaitot iekšejo un ārējo palodžu uzstādīšanu</t>
  </si>
  <si>
    <t>Koka  logu L-14 montāža, 1250*700mm (trīskaršais stiklojums ar selektīvo pārklājumu, gāzes pildījumu; siltumcaurlaidības koeficents Uw=0.85W/m2K); ieskaitot iekšejo un ārējo palodžu uzstādīšanu</t>
  </si>
  <si>
    <t>Koka  logu L-15 montāža, 740*1300mm (trīskaršais stiklojums ar selektīvo pārklājumu, gāzes pildījumu; siltumcaurlaidības koeficents Uw=0.85W/m2K); ieskaitot iekšejo un ārējo palodžu uzstādīšanu</t>
  </si>
  <si>
    <t>Restes</t>
  </si>
  <si>
    <t>Stacionāras alumīnija restes R1 ar rāmi, 1150*1900mm</t>
  </si>
  <si>
    <t>Stacionāras alumīnija restes R2 ar rāmi, 900*2000mm</t>
  </si>
  <si>
    <t>Cinkotas tērauda restes R3 ar rāmi virs pagraba, 620*1500mm</t>
  </si>
  <si>
    <t>Cinkotas tērauda restes R4 ar rāmi virs pagraba, 320*1500mm</t>
  </si>
  <si>
    <t>Cinkotas tērauda restes R5 ar rāmi virs pagraba, 663*(2518+2666+2516mm)</t>
  </si>
  <si>
    <t>Lūka</t>
  </si>
  <si>
    <t>Lūka izejām uz jumta JL-1, 800*1000mm</t>
  </si>
  <si>
    <t>Lūka izejām uz jumta JL-2, 800*1000mm</t>
  </si>
  <si>
    <t>Lūka izejām uz bēniņiem JL-3, 700*900mm (piemēram Fakro LSF)</t>
  </si>
  <si>
    <t xml:space="preserve">Apdares darbi pagrabstāvā </t>
  </si>
  <si>
    <t>Sienu apdare</t>
  </si>
  <si>
    <t>Špaktelēta, slīpēta, krāsota 2 kārtās, krāsa matēta vismaz 10 000 mazgāšanas cikliem, Vivacolor 7, krāsa NCS S 0300-N</t>
  </si>
  <si>
    <t>Sienu aizsargpaneļa uzstādīšana (SPM Decochoc Flint, h=90cm)</t>
  </si>
  <si>
    <t>Špaktelēta, slīpēta, krāsota 2 kārtās, krāsa matēta vismaz 10 000 mazgāšanas cikliem, Vivacolor 7, krāsa NCS S 3000N</t>
  </si>
  <si>
    <t>Sienu flīzēšana (Pavigres21 197*197*6mm)</t>
  </si>
  <si>
    <t>Stūru montāža (SPM safy corner Canary 36*36*1300mm)</t>
  </si>
  <si>
    <t>Rokturu montāža (SPM Escort Shist)</t>
  </si>
  <si>
    <t>Griestu apdare</t>
  </si>
  <si>
    <t>Gludi, apmesti, špaktēlēti, krāsoti ar dispersijas krāsu divās kārtās (tonis NCS S 0300-N)</t>
  </si>
  <si>
    <t>Gludi, apmesti, špaktēlēti, krāsoti ar dispersijas krāsu divās kārtās (tonis NCS S 0570-G90Y)</t>
  </si>
  <si>
    <t>Gludi, apmesti, špaktēlēti, krāsoti ar dispersijas krāsu divās kārtās (tonis NCS S 3000-N)</t>
  </si>
  <si>
    <t>Grīdu apdare</t>
  </si>
  <si>
    <t>Vinila seguma grīdlīstes Forbo sphera Energetic Vivid linen</t>
  </si>
  <si>
    <t>Vinila seguma grīdlīstes Forbo sphera Energetic yellow</t>
  </si>
  <si>
    <t>Grīdlīstu flīzēšana (Ceramica nowa gala basis BS14)</t>
  </si>
  <si>
    <t>Grīdlīstu flīzēšana (Agrob Buchtal Plural 2113 neutral 3)</t>
  </si>
  <si>
    <t>Grīdu linoleja ieklāšana Forbo sphera energetic- Vivid linen</t>
  </si>
  <si>
    <t>Grīdu linoleja ieklāšana Forbo sphera energetic- yellow</t>
  </si>
  <si>
    <t>Grīdu flīzēšana, šuvošana (akmens masas flīzes Nowa gala basis BS14 30*60cm, R10)</t>
  </si>
  <si>
    <t>Grīdu flīzēšana, šuvošana (akmens masas flīzes Agrob Buchtal Pural 2113)</t>
  </si>
  <si>
    <t>Grīdu flīzēšana, šuvošana (Pavigres21 197*197*6mm)</t>
  </si>
  <si>
    <t xml:space="preserve">Apdares darbi 1.stāvā </t>
  </si>
  <si>
    <t>Sienu flīzēšana (Ceramica Nowa gala 30*60cm)</t>
  </si>
  <si>
    <t>Reģipša  griestu špaktelēšana, slīpēšana,  krāsošana 2 kārtās,Tonis - NCS S 0300-N</t>
  </si>
  <si>
    <t>Piekārtie reģipša  griesti, špaktelēti, slīpēti,  krāsoti ar dispersijas krāsu 2 kārtās,Tonis - NCS S 0300-N</t>
  </si>
  <si>
    <t>Solo lineārie griesti, kalibrēts egles dēlītis 20*70mm, solis 75mm starp dēlīšu centriem</t>
  </si>
  <si>
    <t>Piekārtie reģipša  griesti, špaktelēti, slīpēti,  krāsoti ar dispersijas krāsu 2 kārtās,Tonis - NCS S 0570-G90Y</t>
  </si>
  <si>
    <t>Reģipša  griestu špaktelēšana, slīpēšana,  krāsošana 2 kārtās, Tonis - NCS S 3000-N</t>
  </si>
  <si>
    <t>Piekārtie reģipša  griesti, špaktelēti, slīpēti,  krāsoti 2 kārtās,Tonis - NCS S 3000-N</t>
  </si>
  <si>
    <t>Iedziļināts slēgtās konstrukcijas kājslauķis Forbo Nuway connect 4 , b=17mm</t>
  </si>
  <si>
    <t xml:space="preserve">Apdares darbi 2. stāvā </t>
  </si>
  <si>
    <t>Piekārtie reģipša  griesti stiprināti ar akustisko iekari ar gumiju, špaktelēti, slīpēti,  krāsoti ar dispersijas krāsu 2 kārtās,Tonis - NCS S 0300-N</t>
  </si>
  <si>
    <t xml:space="preserve">Apdares darbi 3. stāvā </t>
  </si>
  <si>
    <t>Reģipša  griestu špaktelēšana, slīpēšana,  krāsošana 2 kārtās,Tonis - NCS S 0570-G90Y</t>
  </si>
  <si>
    <t xml:space="preserve">Apdares darbi 4. stāvā </t>
  </si>
  <si>
    <t>Špaktelēta, slīpēta, krāsota 2 kārtās, krāsa matēta vismaz 10 000 mazgāšanas cikliem, Vivacolor 7, krāsa NCS S 3000-N</t>
  </si>
  <si>
    <t>Reģipša  griestu špaktelēšana, slīpēšana,  krāsošana 2 kārtās, Tonis - NCS S 0300-N</t>
  </si>
  <si>
    <t>Reģipša  griestu špaktelēšana, slīpēšana,  krāsošana 2 kārtās,Tonis - NCS S 3000-N</t>
  </si>
  <si>
    <t>Tāme Nr.1.12</t>
  </si>
  <si>
    <t>Elektriskais pasaieru lifts Otis GEN2 Bedlift celtspēja 1600kg, 21pas, ātrums 1m/sek</t>
  </si>
  <si>
    <t>Tāme Nr.1.13</t>
  </si>
  <si>
    <t>Iebūvējamās mēbeles</t>
  </si>
  <si>
    <t>Iebūvējams skapis ,0,6 x1,8  h=2,9 m</t>
  </si>
  <si>
    <t>Iebūvējams skapis ,0,6x1,57 h=2m</t>
  </si>
  <si>
    <t>Iebūvējams skapis ,0,6x2,3 h=2m</t>
  </si>
  <si>
    <t>Iebūvējama virtuve,0,6x2,65m h=2,15m</t>
  </si>
  <si>
    <t>Iebūvējams skapis ,0,6x3,6m h=2</t>
  </si>
  <si>
    <t>Iebūvējama virtuve ,0,6x2,67 h=2,15</t>
  </si>
  <si>
    <t>Iebūvējama virtuve ,0,6x3,25h=2,15</t>
  </si>
  <si>
    <t>Iebūvējams skapis ,0,6x1,61 h=2m</t>
  </si>
  <si>
    <t>Iebūvējama virtuve ,0,6x2,80 h=2,15</t>
  </si>
  <si>
    <t>Iebūvējams skapis ,0,6x1,4m h=2</t>
  </si>
  <si>
    <t>Iebūvējama virtuve ,0,6x1,60 h=0,85</t>
  </si>
  <si>
    <t>Iebūvējams skapis ,0,6x1x5 h=2m</t>
  </si>
  <si>
    <t>Iebūvējama virtuve,0,6x2,58 h=2,15</t>
  </si>
  <si>
    <t>Dažādi</t>
  </si>
  <si>
    <t>Norādes, stāvu apzīmējumi, kabinetu durvju metāla plāksnītes</t>
  </si>
  <si>
    <t>Evakuācijas plāni</t>
  </si>
  <si>
    <t xml:space="preserve">Ugunsdzēsības aparāti PD 6 GX, dzēšanas klase 55A/233B/C </t>
  </si>
  <si>
    <t>Tāme Nr.1.14</t>
  </si>
  <si>
    <t>1. REHABILITĀCIJAS BASEINA FILTRĀCIJAS PAMATAPRĪKOJUMS</t>
  </si>
  <si>
    <t>Daudzslāņu kompozītmateriāla korpusa filtrs San Sebastian Ø640, 2,5BAR, komplektā manometrs, lodziņš Ø90mm, augšējā un sānu lūkas Ø220, ar 1,0m filtrējošo slāni, pieslēguma diametrs 2"</t>
  </si>
  <si>
    <t>6-virzienu skalošanas vārsts Ø2"</t>
  </si>
  <si>
    <t>Vairākātrumu sūknis cirkulācijai (un skalošanai) 11(31)m³/h, 1,1kW, 1~, pieslēgums Ø75</t>
  </si>
  <si>
    <t>Plūsmas mēritājs FlowVis, Ø63</t>
  </si>
  <si>
    <t>Skalošanas pārbaudes stikls, veidgabals d63mm, PN10</t>
  </si>
  <si>
    <t>Aktivizētais filtra materiāls AFM® stikls, frakcija 1 (0,4-0,8mm), DraydenAqua</t>
  </si>
  <si>
    <t>Aktivizētais filtra materiāls AFM® stikls, frakcija 2 (1-2mm), DraydenAqua</t>
  </si>
  <si>
    <t>Zeta potenciāla mikseris ZPM 30002, DN50, 300mm, AISI 316Ti, ar pieslēgumu dozatoram,
pirms filrta, DraydenAqua</t>
  </si>
  <si>
    <t>Flokulanta-koagulanta (APF) konstantas mikrodozācijas sūknis Dryden Aqua Floc-dos-pump, 3.2-
160ml</t>
  </si>
  <si>
    <t>Ķīmisko komponenšu dozēšanas stacija Pool Manager Pro, paredzēta pH un brīvā hlora mērīšanai un dozēšanai, iekļauts skārienjūtīgs vadības displejs, plūsmas mērīšana, temperatūras mērīšana, savietojama ar BMS, ar sūkņiem, Bayrol, Vācija</t>
  </si>
  <si>
    <t>Siltummainis HF28, 40kW, komplektā sensors, elektromagnētiskais vārsts, pieslēguma komplektējošās daļas uz 3/4"</t>
  </si>
  <si>
    <t>Ūdens līmeņa kontroles automātika pārplūdes sistēmām ar 3 sensoriem un elektromagnētisko vārstu</t>
  </si>
  <si>
    <t>Trepes ar 2x3 pakāpieniem un platformu no nerūsējošā tērauda, baseinam 1m</t>
  </si>
  <si>
    <t>Filtra skalošanas automātika Omnitron 2" ar taimeri</t>
  </si>
  <si>
    <t>2. BASEINA KARKASA IEBŪVĒJAMĀS DETAĻAS</t>
  </si>
  <si>
    <t>Ūdens padeves sprausla no sienas, ABS plastmasa, 2"/d50, flīzētiem baseiniem, 10m³/h</t>
  </si>
  <si>
    <t>Galvenā drene - traps, poliesters ar stiklaškiedras armējumu, pieslēgums d50mm</t>
  </si>
  <si>
    <t>Skimmers - ūdens virsmas nosūcējs, bronza + nerūsējošais tērauds 150mm, Hugo Lahme</t>
  </si>
  <si>
    <t>Putekļusūcēja pieslēgums, ABS</t>
  </si>
  <si>
    <t>3. CAURUĻU APSAISTE UN ELEKTROINSTALĀCIJA, PALAIŠANA</t>
  </si>
  <si>
    <t>Cauruļu instalācijas materiāli, veidgabali, fitingi, stiprinājumi, līme, komplekts</t>
  </si>
  <si>
    <t>Elektrovadības bloks, metāla korpusā, ar slēdžiem un indikatoriem uz vāka</t>
  </si>
  <si>
    <t>Elektroinstalācija, kabeļi, stiprinājumi un savienojumu komplekts</t>
  </si>
  <si>
    <t>Baseina uzpilde un palaišana, starta ķīmija</t>
  </si>
  <si>
    <t>4. VIRSMAS IEKLĀJUMA MATERIĀLS</t>
  </si>
  <si>
    <t>Pretfungicīdu ģeotekstils - flīs Alkorplus 400 g/m², Renolit</t>
  </si>
  <si>
    <t>Kontaktlīme Alkorplus, Renolit</t>
  </si>
  <si>
    <t>Laineris Alkorplan 3000, armēta PVC membrāna ar akrila pārklājumu, krāsa gaiši zila (Blue
Fresh), biezums 1,5mm, Renolit</t>
  </si>
  <si>
    <t>Metāla - lamināta stūra leņķis Alkorplus , 1,4mm biezs, 40mm plats, pārklāts ar PVC saķeres membrānu, Renolit</t>
  </si>
  <si>
    <t>Šuvju mastika Alkorplus, krāsa Blue fresh, škidrā PVC un THF (tertohidrofurāna ētera) maisījums</t>
  </si>
  <si>
    <t>5. PAPILDAPRĪKOJUMS</t>
  </si>
  <si>
    <t>Lifts cilvēkiem ar kustību traucējumiem iecelšanai baseinā /komplekts/, Handy Move</t>
  </si>
  <si>
    <t>Papildus atbalsta čaula, Handy Move</t>
  </si>
  <si>
    <t>2-1</t>
  </si>
  <si>
    <t>Elektroapgāde</t>
  </si>
  <si>
    <t>2-2</t>
  </si>
  <si>
    <t>Apkure, ventilācija, kondicionēšana</t>
  </si>
  <si>
    <t>2-3</t>
  </si>
  <si>
    <t>Ūdensapgāde, kanalizācija</t>
  </si>
  <si>
    <t>2-4</t>
  </si>
  <si>
    <t>Siltummezgls</t>
  </si>
  <si>
    <t>2-5</t>
  </si>
  <si>
    <t>Apsardzes signalizācijas sistēma</t>
  </si>
  <si>
    <t>2-6</t>
  </si>
  <si>
    <t>Telekomunikācijas</t>
  </si>
  <si>
    <t>2-7</t>
  </si>
  <si>
    <t>Medicīnas personāla izsaukuma sistēma</t>
  </si>
  <si>
    <t>2-8</t>
  </si>
  <si>
    <t>Medicīniskās gāzes sistēma</t>
  </si>
  <si>
    <t>2-9</t>
  </si>
  <si>
    <t>Ugunsaizsardzības sistēma</t>
  </si>
  <si>
    <t>2-10</t>
  </si>
  <si>
    <t>Izziņošanas sistēma</t>
  </si>
  <si>
    <t>2-11</t>
  </si>
  <si>
    <t>Ēku vadības sistēma</t>
  </si>
  <si>
    <t>2-12</t>
  </si>
  <si>
    <t>Dūmu novadīšanas sistēma</t>
  </si>
  <si>
    <t>2-13</t>
  </si>
  <si>
    <t>Videonovērošanas sistēma</t>
  </si>
  <si>
    <t>Sadalnes</t>
  </si>
  <si>
    <t>GS sadalnes skapis , individuālas komplektācijas, IP44, v/a.  Komplektāciju skatīt lapā EL-02.</t>
  </si>
  <si>
    <t>SS01 sadalnes skapis , individuālas komplektācijas, IP40, z/a.  Komplektāciju skatīt lapā EL-16.</t>
  </si>
  <si>
    <t>SS02 sadalnes skapis , individuālas komplektācijas, IP40, z/a.  Komplektāciju skatīt lapā EL-17.</t>
  </si>
  <si>
    <t>SS11 sadalnes skapis , individuālas komplektācijas, IP40, z/a.  Komplektāciju skatīt lapā EL-18.</t>
  </si>
  <si>
    <t>SS12 sadalnes skapis , individuālas komplektācijas, IP40, z/a.  Komplektāciju skatīt lapā EL-19.</t>
  </si>
  <si>
    <t>SS21 sadalnes skapis , individuālas komplektācijas, IP40, z/a.  Komplektāciju skatīt lapā EL-20.</t>
  </si>
  <si>
    <t>SS22 sadalnes skapis , individuālas komplektācijas, IP40, z/a.  Komplektāciju skatīt lapā EL-21.</t>
  </si>
  <si>
    <t>SS31 sadalnes skapis , individuālas komplektācijas, IP40, z/a.  Komplektāciju skatīt lapā EL-22.</t>
  </si>
  <si>
    <t>SS32 sadalnes skapis , individuālas komplektācijas, IP40, z/a.  Komplektāciju skatīt lapā EL-23.</t>
  </si>
  <si>
    <t>SS41 sadalnes skapis , individuālas komplektācijas, IP40, z/a.  Komplektāciju skatīt lapā EL-24.</t>
  </si>
  <si>
    <t>SS42/SS42 APS sadalnes skapis , individuālas komplektācijas, IP40, z/a.  Komplektāciju skatīt lapā EL-25.</t>
  </si>
  <si>
    <t>VS01 sadalnes skapis , individuālas komplektācijas, IP44, v/a.  Komplektāciju skatīt lapā EL-26.</t>
  </si>
  <si>
    <t>VS31 sadalnes skapis , individuālas komplektācijas, IP44, v/a.  Komplektāciju skatīt lapā EL-27.</t>
  </si>
  <si>
    <t>SA01 sadalnes skapis , individuālas komplektācijas, IP44, v/a.  Komplektāciju skatīt lapā EL-28.</t>
  </si>
  <si>
    <t>Jaudas kompensators 63 kvar</t>
  </si>
  <si>
    <t xml:space="preserve"> UPS 20kVA 18kW + bateriju bloks 30 min.</t>
  </si>
  <si>
    <t>Kabeļi, kabeļu trepes un kabeļu caurules</t>
  </si>
  <si>
    <t>XPJ 5x16</t>
  </si>
  <si>
    <t>m.</t>
  </si>
  <si>
    <t>XPJ 5x10</t>
  </si>
  <si>
    <t>XPJ 5x6</t>
  </si>
  <si>
    <t>XPJ 3x6</t>
  </si>
  <si>
    <t>XPJ-5x2.5</t>
  </si>
  <si>
    <t>XPJ-3x2.5</t>
  </si>
  <si>
    <t>XPJ-5x1.5</t>
  </si>
  <si>
    <t>XPJ-4x1.5</t>
  </si>
  <si>
    <t>XPJ-3x1.5</t>
  </si>
  <si>
    <t>XPUJ-5x6</t>
  </si>
  <si>
    <t>XPUJ-3x6</t>
  </si>
  <si>
    <t>XPUJ-5x2.5</t>
  </si>
  <si>
    <t>XPUJ-3x2.5</t>
  </si>
  <si>
    <t>XPUJ-4x1.5</t>
  </si>
  <si>
    <t>XPUJ-3x1.5</t>
  </si>
  <si>
    <t>NHXH-J E90-3x1,5</t>
  </si>
  <si>
    <t>NHXH-J E90-7x1,5</t>
  </si>
  <si>
    <t>NHXH-J E90-12x1,5</t>
  </si>
  <si>
    <t>NHXH-J E90-3x2,5</t>
  </si>
  <si>
    <t>NHXH-J E90-5x2,5</t>
  </si>
  <si>
    <t>(N)HXH-FE180-E30-3x1.5</t>
  </si>
  <si>
    <t>(N)HXH-FE180-E30-3x2.5</t>
  </si>
  <si>
    <t>(N)HXH-FE180-E30-3x4</t>
  </si>
  <si>
    <t>(N)HXH-FE180-E30-5x6</t>
  </si>
  <si>
    <t>Kabeļu trepe ar stiprinājumu komplektu, platums 400mm</t>
  </si>
  <si>
    <t>PVC caurule taisna d=16mm</t>
  </si>
  <si>
    <t>PVC caurule taisna d=20mm</t>
  </si>
  <si>
    <t>PVC caurule taisna d=25mm</t>
  </si>
  <si>
    <t>Lokanie/taisnie savienojumi caurulēm d=16mm</t>
  </si>
  <si>
    <t>Lokanie/taisnie savienojumi caurulēm d=20mm</t>
  </si>
  <si>
    <t>Lokanie/taisnie savienojumi caurulēm d=25mm</t>
  </si>
  <si>
    <t>Gofrēta PVC caurule D=16mm</t>
  </si>
  <si>
    <t>Gofrēta PVC caurule D=20mm</t>
  </si>
  <si>
    <t>Gofrēta PVC caurule D=25mm</t>
  </si>
  <si>
    <t>PVC caurule d=75mm, 750N(sienā)</t>
  </si>
  <si>
    <t>PVC caurule d=75mm, 450N(pie griestiem)</t>
  </si>
  <si>
    <t>Ugunsdrošais pildījums, tipu izvēlēties atkarībā no aizpildījuma veida</t>
  </si>
  <si>
    <t xml:space="preserve">Ugunsdrošo kabeļu stiprinājumi </t>
  </si>
  <si>
    <t>Lokanie/taisnie savienojumi kabeļu trepēm</t>
  </si>
  <si>
    <t>Stiprinājumi un palīgmateriāli kabeļu trepēm</t>
  </si>
  <si>
    <t>Stiprinājumi un palīgmateriāli kabeļiem, caurulēm</t>
  </si>
  <si>
    <t>Apsildes kabelis DTCE-20 25m, 0,5kW komplektā ar savienojuma kārbu un kabeļu stiprinājumiem</t>
  </si>
  <si>
    <t>Apsildes kabelis DTCE-20 50m, 1,0kW komplektā ar savienojuma kārbu un kabeļu stiprinājumiem</t>
  </si>
  <si>
    <t>Apsildes kabelis DTCE-20 60m, 1,2kW komplektā ar savienojuma kārbu un kabeļu stiprinājumiem</t>
  </si>
  <si>
    <t>Apsildes kabelis DTCE-20 70m, 1,3kW komplektā ar savienojuma kārbu un kabeļu stiprinājumiem</t>
  </si>
  <si>
    <t>Apsildes kabelis DTCE-20 100m, 2,1kW komplektā ar savienojuma kārbu un kabeļu stiprinājumiem</t>
  </si>
  <si>
    <t>Apsildes kabelis DTCE-20 135m, 2,7kW komplektā ar savienojuma kārbu un kabeļu stiprinājumiem</t>
  </si>
  <si>
    <t>Rozetes, slēdži un  citi materiāli</t>
  </si>
  <si>
    <t>Rozete 1-viet., 1 fāze, 230V, 16A, IP20, z/a</t>
  </si>
  <si>
    <t>Rozete datoriem 1-viet., 1 fāze, 230V, 16A, IP20, z/a</t>
  </si>
  <si>
    <t>Rozete 1-viet., 1 fāze, 230V, 16A, IP44, z/a</t>
  </si>
  <si>
    <t>Rozete 1-viet., 1 fāze, 230V, 16A, IP20, z/a, ar bērnu aizsardzību</t>
  </si>
  <si>
    <t>Rozete v/a, IP20, 1f 16A</t>
  </si>
  <si>
    <t>Rozete v/a, IP44, 1f 16A</t>
  </si>
  <si>
    <t>Rozete 2vietīga v/a uz vada, IP20, 1f 16A</t>
  </si>
  <si>
    <t>Nozarkārbas, v/a uz kabeļu trepes, virs piek. griestiem</t>
  </si>
  <si>
    <t>Nozarkārbas gaismekļu komutācijai v/a</t>
  </si>
  <si>
    <t>Grīda kārba, 2v, tipu saskaņot ar pasūtītāju</t>
  </si>
  <si>
    <t>Grīda kārba, 8v, tipu saskaņot ar pasūtītāju</t>
  </si>
  <si>
    <t>Rozete grīdas kārbā, 1-viet., 1 fāze, 230V, 16A, IP20, z/a</t>
  </si>
  <si>
    <t>Rozete grīdas kārbā, 1-viet., 1 fāze, 230V, 16A, IP20, z/a, datoram</t>
  </si>
  <si>
    <t>1-taust. slēdzis z/a, 230V, 10A, IP20</t>
  </si>
  <si>
    <t>2-taust. slēdzis z/a, 230V, 10A, IP20</t>
  </si>
  <si>
    <t>1-taust.  slēdzis z/a, 230V, 10A, IP44</t>
  </si>
  <si>
    <t>1-taust.  slēdzis v/a, 230V, 10A, IP20</t>
  </si>
  <si>
    <t>1-taust.  slēdzis v/a, 230V, 10A, IP44</t>
  </si>
  <si>
    <t>1-taust.  pārslēdzis z/a, 230V, 10A, IP20</t>
  </si>
  <si>
    <t>2-taust.  pārslēdzis z/a, 230V, 10A, IP20</t>
  </si>
  <si>
    <t>1-taust.  tasterslēdzis z/a, 230V, 10A, IP20</t>
  </si>
  <si>
    <t>Montāžas kārbas, z/a</t>
  </si>
  <si>
    <t>Aizbīdņa vadības poga</t>
  </si>
  <si>
    <t>Kabeļu savienojumu klemes</t>
  </si>
  <si>
    <t>Gaismekļi un gaismekļu vadība</t>
  </si>
  <si>
    <t>MODUS, spol. s r.o. gaismeklis MODUS SPMP KN 370 900 DALI, 1xLED, 3200lm, 36W, IP20</t>
  </si>
  <si>
    <t>MODUS, spol. s r.o. gaismeklis MODUS SPMP KN 370 900, 1xLED, 3200lm, 36W, IP20</t>
  </si>
  <si>
    <t>MODUS, spol. s r.o. gaismeklis MODUS SPMP KN 370 700 DALI, 1xLED, 2600lm, 28W, IP20</t>
  </si>
  <si>
    <t>MODUS, spol. s r.o. gaismeklis MODUS SPMP KN 370 700, 1xLED, 2600lm, 28W, IP20</t>
  </si>
  <si>
    <t>Intralighting gaismeklis Etea DI 1440 lm 13 W 830 FO IP65 white</t>
  </si>
  <si>
    <t>MODUS, spol. s r.o. gaismeklis MODUS SBL M KN 125 S, 1xLED, 2650lm, 29W, IP20</t>
  </si>
  <si>
    <t>MODUS, spol. s r.o. gaismeklisMODUS SBL M KN 125 C, 1xLED, 2650lm, 29W, IP20</t>
  </si>
  <si>
    <t>MODUS, spol. s r.o. gaismeklis MODUS SBL L KN 180, 1xLED, 3900lm, 42W, IP20</t>
  </si>
  <si>
    <t>MODUS, spol. s r.o. gaismeklis MODUS SBL L KN 180 S, 1xLED, 3900lm, 42W, IP20</t>
  </si>
  <si>
    <t>MODUS, spol. s r.o. gaismeklis MODUS SBL/X L KN 180, 1xLED, 3900lm, 42W, IP20, DALI</t>
  </si>
  <si>
    <t>MODUS, spol. s r.o. gaismeklis MODUS ESO 3000 RM KO, 1xLED, 3300lm, 26W, IP40</t>
  </si>
  <si>
    <t>MODUS, spol.s.r.o. gaismeklis MODUS VLO 3500 L 1 N, 1xLED, 3900lm, 32W, IP65</t>
  </si>
  <si>
    <t>MODUS, spol.s.r.o. gaismeklis MODUS VLO 7000 L 2 W, 1xLED, 720lm, 53W, IP65</t>
  </si>
  <si>
    <t>MODUS, spol.s.r.o. gaismeklis MODUS ESO 4000 RM KO, 1xLED, 4400lm, 38W, IP40</t>
  </si>
  <si>
    <t>LENA LIGHTING S. A. gaismeklis  NECTRA LED IP44 25W 3000K, 1xLED, 2200lm, 25W, IP44</t>
  </si>
  <si>
    <t>Intralighting gaismeklis Kalis 65 W SOP 1100 lm 17 W 830 L575mm FO IP44 white</t>
  </si>
  <si>
    <t>MODUS, spol.s.r.o. gaismeklis MODUS BRSB KO 480 V3, 1xLED, 3600lm, 34W, IP44</t>
  </si>
  <si>
    <t>BRIGHT AP132 gaismeklis 22,44W LED | 1480lm. 19W, IP20</t>
  </si>
  <si>
    <t>MODUS, spol.s.r.o. gaismeklis MODUS SPMT 1000 KO, 1xLED, 900lm, 11W, IP40</t>
  </si>
  <si>
    <t>MODUS, spol.s.r.o. gaismeklis MODUS SPMT 1500 KO, 1xLED, 1500lm, 20W, IP40</t>
  </si>
  <si>
    <t>LUXIONA Troll gaismeklis X-WALL K9 LED 4400LM PLX E IP44 830 L-1200, 28W</t>
  </si>
  <si>
    <t>Pie griestiem stiprināms LED evakuācijas gaismeklis ar akumulatoru 3h, TM Technologie BOA IN M1  230V, IP20, 2W</t>
  </si>
  <si>
    <t>Klātbūtnes sensors 360° STEINEL Presence Control PRO HF 360 COM1</t>
  </si>
  <si>
    <t>Evakuācijas ceļa norāde uz trepēm, ar akumulatoru 1h</t>
  </si>
  <si>
    <t>Evakuācijas izejas norāde, ar akumulatoru 1h</t>
  </si>
  <si>
    <t>Evakuācijas izejas norāde uz āru, ar akumulatoru 1h</t>
  </si>
  <si>
    <t>Stiprinājumi un palīgmateriāli apgaismojuma ķermeņu izbūvei</t>
  </si>
  <si>
    <t>Teritorijas tīkli</t>
  </si>
  <si>
    <t>AXPK-4x240</t>
  </si>
  <si>
    <t>Galu apdare kabelim AXPK-4x240</t>
  </si>
  <si>
    <t>AXPK-4x50</t>
  </si>
  <si>
    <t>Galu apdare kabelim AXPK-4x50</t>
  </si>
  <si>
    <t>Caurule EVOCAB HARD 750N ∅75mm</t>
  </si>
  <si>
    <t>Esošo kabeļu demontāža</t>
  </si>
  <si>
    <t>Demontēto kabeļu kape</t>
  </si>
  <si>
    <t>NH-2 grošinātāji 200A</t>
  </si>
  <si>
    <t>NH-2 grošinātāji 63A</t>
  </si>
  <si>
    <t>Zemējums un zibensaizsardzība</t>
  </si>
  <si>
    <t>Pieslēguma klemme notekai 262 Rd 8-10 mm (art.5316014)</t>
  </si>
  <si>
    <t>Stieples varioklemme (art.5311 50 0)</t>
  </si>
  <si>
    <t>Apaļvadu savienojuma/mērījumu klemme RD8-10 (art.5328 20 9)</t>
  </si>
  <si>
    <t>Kompensātors 172 AR (art.5326 33 8)</t>
  </si>
  <si>
    <t>Zibensnovedēja apaļstieples turētājs pa jumtu 159 K-VA(art.5810 04 4)</t>
  </si>
  <si>
    <t>Vertikālais zibensnovedēja apaļstieples turētājs 177/20-DIN(art.5207 44 4)</t>
  </si>
  <si>
    <t>Savienojuma klemme RD8 (art. 5315 50 6)</t>
  </si>
  <si>
    <t>Cikota tērauda apaļvads ar PVC apvalku RD10 (art.5021162)</t>
  </si>
  <si>
    <t>Cinkota tērauda apaļvads RD8-FT (art.5021 08 1)</t>
  </si>
  <si>
    <t>Cinkota tērauda apaļvads RD10-PVC (art.5021 16 2)</t>
  </si>
  <si>
    <t>Cinkots tērauda plakandzelzs 3,5x30 mm 5052 DIN 30x3,5 (art. 5019 34 7)</t>
  </si>
  <si>
    <t>Zemējuma stienis d=20mm, l=1,5m 219 20 ST FT (art. 5000 75 0)</t>
  </si>
  <si>
    <t>Elektroda uzgalis zemējuma stienim 1819 20 BP (art. 3041 21 2)</t>
  </si>
  <si>
    <t>Krustveida savienotājs ar starpplati Rd 8-10 mm 252 8-10 FT (art. 5312 31 0)</t>
  </si>
  <si>
    <t>Pretkorozijas lenta 356 50 (art. 2360 05 5)</t>
  </si>
  <si>
    <t>Savienojuma klemme zemējuma stienis - plakandzelzis (art. 5001 64 1)</t>
  </si>
  <si>
    <t>Vertikālie Cinkots tērauda plakandzelzs 3,5x30 turētāji</t>
  </si>
  <si>
    <t>Cinkota tērauda apaļvada turētajs uz plakana jumta 165 MBG-8 (art.5218 67 5)</t>
  </si>
  <si>
    <t>Adapterisplakandzelzim priekš turētāja uz plakana jumta 165 MGB HFL (art.5218 88 5)</t>
  </si>
  <si>
    <t>Cinkota tērauda uztveršanas stienis 101/G-DIN (art.5402 10 7)</t>
  </si>
  <si>
    <t>Stiprinājumi cinkota tērauda uztveršanas stienism 101/G-DIN pie parapeta</t>
  </si>
  <si>
    <t>Zemējuma vads H07V-K 1x6</t>
  </si>
  <si>
    <t xml:space="preserve">Kabeļu kurpes S=6mm2 </t>
  </si>
  <si>
    <t>Zemējuma vads H07V-K 1x16</t>
  </si>
  <si>
    <t xml:space="preserve">Kabeļu kurpes S=16mm2 </t>
  </si>
  <si>
    <t>PEN kopne 1800 VDE (art. 5015 65 0)</t>
  </si>
  <si>
    <t>APKURES IEKĀRTU UN MATERIĀLU KOPSAVILKUMS</t>
  </si>
  <si>
    <t>A1</t>
  </si>
  <si>
    <t xml:space="preserve">Ķeta kolonnu radiators ar sānu pieslēgumu, ieskrūvētiem korķiem un atgaisotāju. Komplektācijā ietverami radiatoru sienas kronšteini. </t>
  </si>
  <si>
    <t>K.R.-2-300-500-10</t>
  </si>
  <si>
    <t>K.R.-2-500-350-10</t>
  </si>
  <si>
    <t>K.R.-2-500-500-10</t>
  </si>
  <si>
    <t>K.R.-2-500-550-10</t>
  </si>
  <si>
    <t>K.R.-2-500-600-10</t>
  </si>
  <si>
    <t>K.R.-2-500-650-10</t>
  </si>
  <si>
    <t>K.R.-2-500-700-10</t>
  </si>
  <si>
    <t>K.R.-2-500-750-10</t>
  </si>
  <si>
    <t>K.R.-2-500-800-10</t>
  </si>
  <si>
    <t>K.R.-2-500-850-10</t>
  </si>
  <si>
    <t>K.R.-2-500-900-10</t>
  </si>
  <si>
    <t>K.R.-2-500-950-10</t>
  </si>
  <si>
    <t>K.R.-2-500-1000-10</t>
  </si>
  <si>
    <t>K.R.-2-500-1150-10</t>
  </si>
  <si>
    <t>K.R.-2-500-1050-10</t>
  </si>
  <si>
    <t>K.R.-2-500-1200-10</t>
  </si>
  <si>
    <t>K.R.-2-500-1250-10</t>
  </si>
  <si>
    <t>K.R.-2-500-1300-10</t>
  </si>
  <si>
    <t>K.R.-2-500-1350-10</t>
  </si>
  <si>
    <t>K.R.-2-500-1450-10</t>
  </si>
  <si>
    <t>K.R.-2-500-1550-10</t>
  </si>
  <si>
    <t>K.R.-3-500-950-10</t>
  </si>
  <si>
    <t>K.R.-3-500-1000-10</t>
  </si>
  <si>
    <t>K.R.-3-500-1050-10</t>
  </si>
  <si>
    <t>K.R.-3-500-1100-10</t>
  </si>
  <si>
    <t>K.R.-3-500-1150-10</t>
  </si>
  <si>
    <t>K.R.-3-500-1200-10</t>
  </si>
  <si>
    <t>K.R.-3-500-1250-10</t>
  </si>
  <si>
    <t>K.R.-3-500-1400-10</t>
  </si>
  <si>
    <t>K.R.-4-500-1150-10</t>
  </si>
  <si>
    <t>K.R.-4-500-1200-10</t>
  </si>
  <si>
    <t>K.R.-4-500-1300-10</t>
  </si>
  <si>
    <t>K.R.-4-500-1400-10</t>
  </si>
  <si>
    <t>Termostata vārsts Dn15 ar termostatu ķeta radiatoriem</t>
  </si>
  <si>
    <t>Atpakaļgaitas regulējošā ieskrūve Dn15 ķeta radiatoriem</t>
  </si>
  <si>
    <t>Apk. sildpanelis ar griestu stiprinājumiem, elastīgajām pieslēgcaurulēm. Papildus, izolācijas materiāls augšējās virsmas nosegšanai, b-30 mm; 1786x586x40 mm, Virsmas tonis: RAL 9010</t>
  </si>
  <si>
    <t>Pulsar P2</t>
  </si>
  <si>
    <t>Apk. sildpanelis ar griestu stiprinājumiem, elastīgajām pieslēgcaurulēm. Papildus, izolācijas materiāls augšējās virsmas nosegšanai, b-30 mm; 2386x586x40 mm, Virsmas tonis: RAL 9010</t>
  </si>
  <si>
    <t>Pulsar P1</t>
  </si>
  <si>
    <t>Atpakaļgaitas regulējošā ieskrūve Dn15 radiācijas paneļiem</t>
  </si>
  <si>
    <t>Divgaitas vārsts Dn15 ar el. termostatu radiācijas paneļiem. Papildus piederumi un vājstrāvu kabeļi piedziņu pieslēgšanai pie vadības pults. Barošanu pieslēgt pie tuvākā apgaismes ķermeņa slēdža</t>
  </si>
  <si>
    <t>CTV10 M28 x 1.5</t>
  </si>
  <si>
    <t>Lodveida vārsts kompl. ar izjaucamām saskrūvēm</t>
  </si>
  <si>
    <t>TA-60-15</t>
  </si>
  <si>
    <t>TA-60-20</t>
  </si>
  <si>
    <t>Balansējošais vārsts ar mērīšanas un iztukšošanas vārstu, ar gredzena blīvi</t>
  </si>
  <si>
    <t>STAD/F 15</t>
  </si>
  <si>
    <t>STAD/F 20</t>
  </si>
  <si>
    <t>Presējamā tērauda cauruļvadi</t>
  </si>
  <si>
    <t>Ø 15</t>
  </si>
  <si>
    <t>Ø 18</t>
  </si>
  <si>
    <t>Ø 22</t>
  </si>
  <si>
    <t>Ø 28</t>
  </si>
  <si>
    <t>Ø 35</t>
  </si>
  <si>
    <t>Ø 42</t>
  </si>
  <si>
    <t>Siltumizolācijas čaula Ø 15, b=13mm</t>
  </si>
  <si>
    <t>AF/Armaflex</t>
  </si>
  <si>
    <t>Siltumizolācijas čaula Ø 18, b=13mm</t>
  </si>
  <si>
    <t>Siltumizolācijas čaula Ø 22, b=13mm</t>
  </si>
  <si>
    <t>Siltumizolācijas čaula Ø 28, b=19mm</t>
  </si>
  <si>
    <t>Siltumizolācijas čaula Ø 35, b=25mm</t>
  </si>
  <si>
    <t>Siltumizolācijas čaula Ø 42, b=25mm</t>
  </si>
  <si>
    <t>Automātiskais atgaisotājs</t>
  </si>
  <si>
    <t>Izlaides ventilis</t>
  </si>
  <si>
    <t>Apkalpošanas lūkas</t>
  </si>
  <si>
    <t>ACO Top Tec 300x300</t>
  </si>
  <si>
    <t>Siltumapgādes sist. regulēšana un darbības pārbaude</t>
  </si>
  <si>
    <t>Atvērumu un kanālu veidošana komunikaciju būvniecībai</t>
  </si>
  <si>
    <t>Atvērumu un kanālu aizdare</t>
  </si>
  <si>
    <t>Melnā tērauda un misiņa veidgabali</t>
  </si>
  <si>
    <t>Siltumapgādes sistēmu marķēšana</t>
  </si>
  <si>
    <t>Cauruļvadu stiprinājumi un kronšteini</t>
  </si>
  <si>
    <t>A2</t>
  </si>
  <si>
    <t>Cirkulācijas sūknis: N=0.10kW, 1~/230V; G=0.17…0.60l/s, H=30.0kPa</t>
  </si>
  <si>
    <t>EVOPLUS B 40/220.40M</t>
  </si>
  <si>
    <t>Trīsgaitas vārsts ar elektrisko piedziņu (0-10V)</t>
  </si>
  <si>
    <t>VRG20-4.0 +  ARA600</t>
  </si>
  <si>
    <t>VRG25-6.3 +  ARA600</t>
  </si>
  <si>
    <t>VRG25-10.0 +  ARA600</t>
  </si>
  <si>
    <t>TA-60-25</t>
  </si>
  <si>
    <t>TA-60-32</t>
  </si>
  <si>
    <t>TA-60-40</t>
  </si>
  <si>
    <t>STAD/F 25</t>
  </si>
  <si>
    <t>STAD/F 32</t>
  </si>
  <si>
    <t>STAD/F 40</t>
  </si>
  <si>
    <t>Vienvirziena vārsts</t>
  </si>
  <si>
    <t>Ø 20</t>
  </si>
  <si>
    <t>Ø 25</t>
  </si>
  <si>
    <t>Ø 32</t>
  </si>
  <si>
    <t>Filtrs</t>
  </si>
  <si>
    <t>Ø 40</t>
  </si>
  <si>
    <t>Manometrs 0 - 6 bar ar manometra noslēgvārstu</t>
  </si>
  <si>
    <t>Ø 54</t>
  </si>
  <si>
    <t>Siltumizolācijas čaula Ø 54, b=25mm</t>
  </si>
  <si>
    <t>PVC apvalkčaula</t>
  </si>
  <si>
    <t>Etilēnglikola 35% šķīdums</t>
  </si>
  <si>
    <t>A3</t>
  </si>
  <si>
    <t>Kolektors Nr.1: *Kolektoru skapis ar kolektoru stiprinājumiem: dziļums 180mm, augstums 910mm, platums-555mm  - 1. kompl; *Kolektors Dn25 ar 6 izvadiem - 2. kompl.*Plūsmas mērītāji - 4 kompl.</t>
  </si>
  <si>
    <t>Kolektors Nr.2: *Kolektoru skapis ar kolektoru stiprinājumiem: dziļums 180mm, augstums 910mm, platums-785mm  - 1. kompl.*Kolektors Dn25 ar 6 izvadiem - 12. kompl.</t>
  </si>
  <si>
    <t>Putu polistirola materiāls ar folijas pārklājumu.</t>
  </si>
  <si>
    <t>b-30 mm</t>
  </si>
  <si>
    <t>Perimetra izolācijas lente</t>
  </si>
  <si>
    <t>PE materiāla caurule silto grīdu montāžai</t>
  </si>
  <si>
    <t>Ø20</t>
  </si>
  <si>
    <t>Apkures sistēmu marķēšana</t>
  </si>
  <si>
    <t>SILTUMTĪKLU PIESLĒGUMA LĪNIJA</t>
  </si>
  <si>
    <t>Tērauda cauruļvadi</t>
  </si>
  <si>
    <t>DN100</t>
  </si>
  <si>
    <t>Siltumizolācijas čaula Ø 100, b=32mm ar PVC izolāciju</t>
  </si>
  <si>
    <t>Armaflex Check R</t>
  </si>
  <si>
    <t>Elektriskie radiatori</t>
  </si>
  <si>
    <t>Elektriskais gaisa sildītājs ar iebūvētu vadības pulti Q= 0,41kW,N-0,5 kW; 230V/1~;</t>
  </si>
  <si>
    <t>ECH/AG – 500 PE</t>
  </si>
  <si>
    <t>Stiprināšanas materiāli un kronšteini</t>
  </si>
  <si>
    <t>Montāžas materiāli</t>
  </si>
  <si>
    <t>Elektriskais gaisa sildītājs ar iebūvētu vadības pulti Q= 0,73kW, N-1,0 kW; 230V/1~;</t>
  </si>
  <si>
    <t>ECH/AG – 1000 PE</t>
  </si>
  <si>
    <t>VENTILĀCIJAS IEKĀRTU UN MATERIĀLU KOPSAVILKUMS</t>
  </si>
  <si>
    <t>PN1.1</t>
  </si>
  <si>
    <t>Gaisa apstrādes iekārta: Lp-2490 m3/h; Ln-2190 m3/h; Np-1.35 kW; Nn-1.35 kW; 230V/1~; Automātikas vadība un palīgmateriāli automātikas vadības apsaitei.</t>
  </si>
  <si>
    <t xml:space="preserve">Envistar Top 10-2V ''IV PRODUKT'' </t>
  </si>
  <si>
    <t xml:space="preserve">Trokšņu slāpētājs </t>
  </si>
  <si>
    <t>LFIK-1-700-400-1200-1</t>
  </si>
  <si>
    <t>LFIK-1-800-400-1200-1</t>
  </si>
  <si>
    <t>Regulējošais vārsts</t>
  </si>
  <si>
    <t>PRA-125</t>
  </si>
  <si>
    <t>PRA-160</t>
  </si>
  <si>
    <t>UTK/R-300x500</t>
  </si>
  <si>
    <t>Rūpnieciski siltināts motorizēts regulējošais vārsts</t>
  </si>
  <si>
    <t>UTT/R-300x700</t>
  </si>
  <si>
    <t>UTT/R-350x900</t>
  </si>
  <si>
    <t>Ugunsdrošs vārsts (EI60)</t>
  </si>
  <si>
    <t>FDT/R-500-400</t>
  </si>
  <si>
    <t>FDT/R-400-700</t>
  </si>
  <si>
    <t>Gaisa sadalītājs ar regulējošo kārbu</t>
  </si>
  <si>
    <t>LKA+MBB-315</t>
  </si>
  <si>
    <t>Aizsargsiets</t>
  </si>
  <si>
    <t>800x400</t>
  </si>
  <si>
    <t>Pārplūdes reste</t>
  </si>
  <si>
    <t>KIP-1000</t>
  </si>
  <si>
    <t>Gaisa sadalītājs</t>
  </si>
  <si>
    <t>SV2-200-150</t>
  </si>
  <si>
    <t>SV2-300-150</t>
  </si>
  <si>
    <t>ULA-125</t>
  </si>
  <si>
    <t>ULA-200</t>
  </si>
  <si>
    <t>Cinkotais gaisa vads</t>
  </si>
  <si>
    <t>Ø 125</t>
  </si>
  <si>
    <t>Ø 160</t>
  </si>
  <si>
    <t>Ø 200</t>
  </si>
  <si>
    <t>Ø 250</t>
  </si>
  <si>
    <t>200x150</t>
  </si>
  <si>
    <t>300x150</t>
  </si>
  <si>
    <t>300x250</t>
  </si>
  <si>
    <t>400x250</t>
  </si>
  <si>
    <t>500x300</t>
  </si>
  <si>
    <t>500x400</t>
  </si>
  <si>
    <t>600x300</t>
  </si>
  <si>
    <t>700x300</t>
  </si>
  <si>
    <t>900x60</t>
  </si>
  <si>
    <t>900x350</t>
  </si>
  <si>
    <t>1200x300</t>
  </si>
  <si>
    <t xml:space="preserve">Kaučuka izolācija,b=13 mm </t>
  </si>
  <si>
    <t>Kaiflex ST</t>
  </si>
  <si>
    <t xml:space="preserve">Vates izolācija ar folijas klājumu,b=50 mm </t>
  </si>
  <si>
    <t xml:space="preserve">Ventilam Alu ML3 </t>
  </si>
  <si>
    <t xml:space="preserve">Vates izolācija ar folijas klājumu,b=100 mm </t>
  </si>
  <si>
    <t>Tīrīšanas lūkas</t>
  </si>
  <si>
    <t>Gaisa vadu veidgabali</t>
  </si>
  <si>
    <t>Ventilācijas sistēmas regulēšana un darbības pārbaude</t>
  </si>
  <si>
    <t>Ventilācijas sistēmu marķēšana</t>
  </si>
  <si>
    <t>PN1.2</t>
  </si>
  <si>
    <t>Gaisa apstrādes iekārta: Lp-2780 m3/h; Ln-2480 m3/h; Automātikas vadība un palīgmateriāli automātikas vadības apsaitei.</t>
  </si>
  <si>
    <t>Gaisa ieņemšanas reste</t>
  </si>
  <si>
    <t>RIS 1000x1600</t>
  </si>
  <si>
    <t>LFIK-1-600-500-1200-1</t>
  </si>
  <si>
    <t>LFIK-1-800-500-1200-1</t>
  </si>
  <si>
    <t>PRA-100</t>
  </si>
  <si>
    <t>PRA-200</t>
  </si>
  <si>
    <t>UTK/R-300x600</t>
  </si>
  <si>
    <t>UTT/R-700x400</t>
  </si>
  <si>
    <t>LKA+MBB-200</t>
  </si>
  <si>
    <t>LKA+MBB-250</t>
  </si>
  <si>
    <t>SV2-300-200</t>
  </si>
  <si>
    <t>ULA-100</t>
  </si>
  <si>
    <t>Ø 100</t>
  </si>
  <si>
    <t>300x200</t>
  </si>
  <si>
    <t>500x250</t>
  </si>
  <si>
    <t>600x500</t>
  </si>
  <si>
    <t>700x400</t>
  </si>
  <si>
    <t>800x500</t>
  </si>
  <si>
    <t>1200x1000</t>
  </si>
  <si>
    <t>PN1.3</t>
  </si>
  <si>
    <t>Gaisa apstrādes iekārta: Lp-3740 m3/h; Ln-3440 m3/h; Gaisa sildītājs:Qs-27.7 kW; 35% et.-glik. šķīdums 60°/40°C; Automātikas vadība un palīgmateriāli automātikas vadības apsaitei.</t>
  </si>
  <si>
    <t xml:space="preserve">Flexomix 150-1V ''IV PRODUKT'' </t>
  </si>
  <si>
    <t>RIS 900x1800</t>
  </si>
  <si>
    <t>LFIK-1-900-500-1200-1</t>
  </si>
  <si>
    <t>UTK/R-300-300</t>
  </si>
  <si>
    <t>UTK/R-500-300</t>
  </si>
  <si>
    <t>SV2-400-200</t>
  </si>
  <si>
    <t>SV2-800-300</t>
  </si>
  <si>
    <t>ULA-160</t>
  </si>
  <si>
    <t>100x100</t>
  </si>
  <si>
    <t>300x300</t>
  </si>
  <si>
    <t>400x200</t>
  </si>
  <si>
    <t>600x250</t>
  </si>
  <si>
    <t>700x250</t>
  </si>
  <si>
    <t>800x300</t>
  </si>
  <si>
    <t>850x300</t>
  </si>
  <si>
    <t>900x500</t>
  </si>
  <si>
    <t>1000x250</t>
  </si>
  <si>
    <t>1800x900</t>
  </si>
  <si>
    <t>PN2</t>
  </si>
  <si>
    <t>Gaisa apstrādes iekārta Lp-8260 m3/h; Ln-7460 m3/h; Automātikas vadība un palīgmateriāli automātikas vadības apsaitei.</t>
  </si>
  <si>
    <t xml:space="preserve">Flexomix 300-1V ''IV PRODUKT'' </t>
  </si>
  <si>
    <t>LFIK-1-1200-600-1200-1</t>
  </si>
  <si>
    <t>UTK/R-200x200</t>
  </si>
  <si>
    <t>UTK/R-300x200</t>
  </si>
  <si>
    <t>UTK/R-300x300</t>
  </si>
  <si>
    <t>UTK/R-400x300</t>
  </si>
  <si>
    <t>UTK/R-600x200</t>
  </si>
  <si>
    <t>LKA+MBB-160</t>
  </si>
  <si>
    <t>SV2-500-300</t>
  </si>
  <si>
    <t>SV2-800-400</t>
  </si>
  <si>
    <t>SV2-1000-300</t>
  </si>
  <si>
    <t>TINO-100P</t>
  </si>
  <si>
    <t>KIP-600</t>
  </si>
  <si>
    <t>200x200</t>
  </si>
  <si>
    <t>350x250</t>
  </si>
  <si>
    <t>400x300</t>
  </si>
  <si>
    <t>600x200</t>
  </si>
  <si>
    <t>900x300</t>
  </si>
  <si>
    <t>1000x300</t>
  </si>
  <si>
    <t>1200x400</t>
  </si>
  <si>
    <t>1200x600</t>
  </si>
  <si>
    <t>1200x800</t>
  </si>
  <si>
    <t>PN3</t>
  </si>
  <si>
    <t>Gaisa apstrādes iekārta: Lp-5990 m3/h; Ln-5400 m3/h; Hp-350 Pa; Hn-350 Pa; Automātikas vadība un palīgmateriāli automātikas vadības apsaitei.</t>
  </si>
  <si>
    <t xml:space="preserve">Flexomix 240 ''IV PRODUKT'' </t>
  </si>
  <si>
    <t>Gaisa sausinātājs komplektā ar elektroinstalāciju: L=900m3/h, N=1.8kW, 1~/230V</t>
  </si>
  <si>
    <t>CDP 70</t>
  </si>
  <si>
    <t>Gaisa sildītājs komplektā ar elektroinstalāciju: Qs=0.2kW, N=0.3kW, 1~/230V</t>
  </si>
  <si>
    <t>CV16</t>
  </si>
  <si>
    <t>LFIK-1-1000-600-1200-1</t>
  </si>
  <si>
    <t>INNO-100</t>
  </si>
  <si>
    <t>INNO-160</t>
  </si>
  <si>
    <t>PRA-315</t>
  </si>
  <si>
    <t>FDI-200</t>
  </si>
  <si>
    <t>FDI-250</t>
  </si>
  <si>
    <t>FDT/R-800-400</t>
  </si>
  <si>
    <t>RGS-0-325-75</t>
  </si>
  <si>
    <t>RGS-2-425-75</t>
  </si>
  <si>
    <t>RGS-0-525-75</t>
  </si>
  <si>
    <t>RGS-2-825-75</t>
  </si>
  <si>
    <t>RGS-2-525-125</t>
  </si>
  <si>
    <t>TINO-160</t>
  </si>
  <si>
    <t>TINO-200</t>
  </si>
  <si>
    <t>Ø 315</t>
  </si>
  <si>
    <t>1000x600</t>
  </si>
  <si>
    <t>N4</t>
  </si>
  <si>
    <t>Jumta tipa ventilators Ln-600 m3/h, Hn-150 Pa;Automātikas vadība un palīgmateriāli automātikas vadības apsaitei.</t>
  </si>
  <si>
    <t>DVCI 315-P ''Systemair''</t>
  </si>
  <si>
    <t>Trokšņu slāpējoša jumta kārba</t>
  </si>
  <si>
    <t>TG 400-800</t>
  </si>
  <si>
    <t>BTG 400</t>
  </si>
  <si>
    <t>FDI-125</t>
  </si>
  <si>
    <t>400x400</t>
  </si>
  <si>
    <t>N5</t>
  </si>
  <si>
    <t>Jumta tipa ventilators Ln-1200 m3/h, Hn-300 Pa, Nn-0.55 kW; 230V/1~; Automātikas vadība un palīgmateriāli automātikas vadības apsaitei.</t>
  </si>
  <si>
    <t>DVCI 355-P ''Systemair''</t>
  </si>
  <si>
    <t>TG 540-800</t>
  </si>
  <si>
    <t>BTG 540</t>
  </si>
  <si>
    <t>TINO-125</t>
  </si>
  <si>
    <t>FDT/R-400-200</t>
  </si>
  <si>
    <t>500x200</t>
  </si>
  <si>
    <t>500x500</t>
  </si>
  <si>
    <t>N6</t>
  </si>
  <si>
    <t>Kanāla tipa ventilators Ln-400 m3/h; Automātikas vadība un palīgmateriāli automātikas vadības apsaitei.</t>
  </si>
  <si>
    <t>K 200 EC ''Systemair''</t>
  </si>
  <si>
    <t>Gaisa izmešanas konfuzors</t>
  </si>
  <si>
    <t>VHL-200</t>
  </si>
  <si>
    <t>LEV-200-K1</t>
  </si>
  <si>
    <t>Rūpnieciski siltināts regulējošs vārsts ar elektropiedziņu</t>
  </si>
  <si>
    <t>UTT/C-200+B9(LM230A-S)</t>
  </si>
  <si>
    <t xml:space="preserve">Vates izolācija ar folijas klājumu,b=30 mm </t>
  </si>
  <si>
    <t>N7</t>
  </si>
  <si>
    <t>Sadzīves tipa ventilators Ln-200 m3/h; Automātikas vadība un palīgmateriāli automātikas vadības apsaitei.</t>
  </si>
  <si>
    <t>Silent-300 CRS Plus Design-3C ''S&amp;P''</t>
  </si>
  <si>
    <t>FDI-160</t>
  </si>
  <si>
    <t>N8</t>
  </si>
  <si>
    <t>N9</t>
  </si>
  <si>
    <t>N10</t>
  </si>
  <si>
    <t>Sadzīves tipa ventilators Ln-80 m3/h; Automātikas vadība un palīgmateriāli automātikas vadības apsaitei.</t>
  </si>
  <si>
    <t>Silent-100 CRS Plus Design-3C ''S&amp;P''</t>
  </si>
  <si>
    <t>VHL-125</t>
  </si>
  <si>
    <t>DN1</t>
  </si>
  <si>
    <t>VHL-250</t>
  </si>
  <si>
    <t>UTT/C-250</t>
  </si>
  <si>
    <t>GAISA DZESĒŠANAS IEKĀRTU UN MATERIĀLU KOPSAVILKUMS</t>
  </si>
  <si>
    <t>K1</t>
  </si>
  <si>
    <t>Daudzpakāpju kompresijas iekārta Qa=7.5kW, R410A, N=2.3kW, 1~/230V</t>
  </si>
  <si>
    <t>MU3R21 UE0</t>
  </si>
  <si>
    <t>Automātikas vadība un palīgmateriāli iekārtu apsaitei</t>
  </si>
  <si>
    <t>Sienas tipa gaisa dzesētājs ar iebūvētu:  kondensāta vannu, kondensāta sūkni, distances pulti un citiem piederumiem Qa=2.5 kW</t>
  </si>
  <si>
    <t>PC095Q NSJ</t>
  </si>
  <si>
    <t>Rūpnieciski izolēti freona cauruļvadi 6.35mm</t>
  </si>
  <si>
    <t>Rūpnieciski izolēti freona cauruļvadi 9.53mm</t>
  </si>
  <si>
    <t>R410A</t>
  </si>
  <si>
    <t>Misiņa, melnā tērauda un vara veidgabali</t>
  </si>
  <si>
    <t>Dzesēšanas sist. regulēšana un darbības pārbaude</t>
  </si>
  <si>
    <t>Dzesēšanas sistēmu marķēšana</t>
  </si>
  <si>
    <t>K2</t>
  </si>
  <si>
    <t>Daudzpakāpju kompresijas iekārta Qa=7.5kW, R410A,N=2.3kW, 1~/230V</t>
  </si>
  <si>
    <t>K3</t>
  </si>
  <si>
    <t xml:space="preserve">Kompresijas iekārta ar telpas gaisa dzesētāju. Parametri: Qa-5.0 kW; N-2.0 kW; 230V/1~; R 410A; </t>
  </si>
  <si>
    <t>HED/HCAT 0011</t>
  </si>
  <si>
    <t>Rūpnieciski izolēti freona cauruļvadi 15.9mm</t>
  </si>
  <si>
    <t>Misiņa un vara veidgabali</t>
  </si>
  <si>
    <t>Izolācijas un stiprināšanas  palīgmateriāli</t>
  </si>
  <si>
    <t>K4</t>
  </si>
  <si>
    <t>Papildus darbi</t>
  </si>
  <si>
    <t>Esošo ventilācijas kanālu tīrīšana</t>
  </si>
  <si>
    <t>Aukstā ūdensvada ūdensapgādes sistēma U1</t>
  </si>
  <si>
    <t>PE ūdensvada cauruļvads OD110x6.6</t>
  </si>
  <si>
    <t>Wavin Tigris Alupex caurule OD75×7.5</t>
  </si>
  <si>
    <t>DN65</t>
  </si>
  <si>
    <t>Wavin Tigris Alupex caurule OD50×4.5</t>
  </si>
  <si>
    <t>DN40</t>
  </si>
  <si>
    <t>Wavin Tigris Alupex caurule OD32×3</t>
  </si>
  <si>
    <t>DN25</t>
  </si>
  <si>
    <t xml:space="preserve">Wavin Tigris Alupex caurule OD25×2.50 </t>
  </si>
  <si>
    <t>DN20</t>
  </si>
  <si>
    <t>Wavin Tigris Alupex caurule OD20×2.25</t>
  </si>
  <si>
    <t>DN15</t>
  </si>
  <si>
    <t>Wavin Tigris Alupex caurules veidgabali</t>
  </si>
  <si>
    <t>Izolācija Armacell, grūti degoša TUBOLIT DG TL-110/9-DG</t>
  </si>
  <si>
    <t>Izolācija Armacell, grūti degoša TUBOLIT DG TL-76/9-DG</t>
  </si>
  <si>
    <t>Izolācija Armacell, grūti degoša TUBOLIT DG TL-54/9-DG</t>
  </si>
  <si>
    <t>Izolācija Armacell, grūti degoša TUBOLIT DG TL-35/9-DG</t>
  </si>
  <si>
    <t>Izolācija Armacell, grūti degoša TUBOLIT DG TL-28/9-DG</t>
  </si>
  <si>
    <t>Izolācija Armacell, grūti degoša TUBOLIT DG TL-22/9-DG</t>
  </si>
  <si>
    <t>Lodveida krāns, PN16</t>
  </si>
  <si>
    <t>Lodveida vārsts, PN16</t>
  </si>
  <si>
    <t>Laistīšanas krāns (neaizsalstošs) , PN10 komplektā ar šļūteni l=30m un savienojošiem veidgabaliem</t>
  </si>
  <si>
    <t>Pāreja no PE OD100 uz tērauda cinkotu cauruli 144x3.5 (DN100) PN10</t>
  </si>
  <si>
    <t>vieta</t>
  </si>
  <si>
    <t>Eletrometināma tērauda caurule Ø114x3,5</t>
  </si>
  <si>
    <t>Cinkota tērauda caurule 48x3.2</t>
  </si>
  <si>
    <t>Cinkota tērauda veidgabali</t>
  </si>
  <si>
    <t>Montāžas un palīgmateriāli, stiprinājumi, ugunsdrošības mastika, lentas u.c.nepieciešamie materiāli</t>
  </si>
  <si>
    <t>Cauruļvadu skalošana un hidrauliskā pārbaude</t>
  </si>
  <si>
    <t>Ugunsdrošības lentas</t>
  </si>
  <si>
    <t>Komercuzskaites mezgls KUM-1 DN40</t>
  </si>
  <si>
    <t xml:space="preserve">Universālā  stiepes izturīga atloku adapteris Dn65 PN16, caurules savienošanai ar PE cauruli </t>
  </si>
  <si>
    <t>Atloka trejgabals Dn65x50</t>
  </si>
  <si>
    <t>Caurule ar atlokiem Dn65 L=600</t>
  </si>
  <si>
    <t>Atloks Dn50 ar iekšējo vītni Dn40</t>
  </si>
  <si>
    <t>Cinkota tērauda īsā caurule ar ārējo vītni Dn40</t>
  </si>
  <si>
    <t>Servisa ķeta aizbīdnis ar iekšējo vītni Dn40</t>
  </si>
  <si>
    <t>Ūdens mērītājs, modelis Zenner MNK-RP-N vai ekvivalents, aizsardzības klase IP 68, plūsmas spiediena izturība ne mazāka kā PN 16. Nominālā plūsma 16 m3/h.</t>
  </si>
  <si>
    <t>Cinkota tērauda vītnes pagarinājums Dn40 (3xd)</t>
  </si>
  <si>
    <t>Cinkota tērauda trejgabals ar iekšējo vītni Dn40
komplektā ar lodveida ventīlu - ārējo vītni Dn20
un korķi - iekšējo vītni Dn20</t>
  </si>
  <si>
    <t>Manometrs 0-6bar</t>
  </si>
  <si>
    <t>Cinkota tērauda vītnes pagarinājums Dn40 ar
iestrādātu manometru</t>
  </si>
  <si>
    <t>Ūdens patēriņa uzskaites mezgls</t>
  </si>
  <si>
    <t>Lodveida ventilis</t>
  </si>
  <si>
    <t>Čuguna cinkotā futorka</t>
  </si>
  <si>
    <t>DN40xDN15</t>
  </si>
  <si>
    <t>Ūdens mērītājs Zenner ar impulsa izvadu DN40, 
Qnom=1.5m3/h</t>
  </si>
  <si>
    <t xml:space="preserve">Čuguna cinkotais trejgabals </t>
  </si>
  <si>
    <t>Čuguna trejgabals - pāreja</t>
  </si>
  <si>
    <t>DN65/ DN40</t>
  </si>
  <si>
    <t>Čuguna cinkotais nipelis</t>
  </si>
  <si>
    <t>DN65xDN40</t>
  </si>
  <si>
    <t>Pāreja ar ārējo vītni</t>
  </si>
  <si>
    <t xml:space="preserve"> D40x1 1/2"</t>
  </si>
  <si>
    <t>Manometrs ar krānu 0-6bar</t>
  </si>
  <si>
    <t xml:space="preserve">Karstā ūdensapgādes sistēma T3, T4 </t>
  </si>
  <si>
    <t>Izolācija Armacell, grūti degoša TUBOLIT DG TL-76/20-DG</t>
  </si>
  <si>
    <t>Izolācija Armacell, grūti degoša TUBOLIT DG TL-42/20-DG</t>
  </si>
  <si>
    <t>Izolācija Armacell, grūti degoša TUBOLIT DG TL-35/20-DG</t>
  </si>
  <si>
    <t>Izolācija Armacell, grūti degoša TUBOLIT DG TL-28/20-DG</t>
  </si>
  <si>
    <t>Izolācija Armacell, grūti degoša TUBOLIT DG TL-22/20-DG</t>
  </si>
  <si>
    <t>Balansējošais vārsts, PN16</t>
  </si>
  <si>
    <t>Ugunsdzēsības ūdensvads U2</t>
  </si>
  <si>
    <t>Eletrometināma tērauda caurule Ø42.3x3.2</t>
  </si>
  <si>
    <t>DN32</t>
  </si>
  <si>
    <t xml:space="preserve">Tērauda caurules veidgabali </t>
  </si>
  <si>
    <t>Krāsojums ar eļļas krāsu (2 reizes)</t>
  </si>
  <si>
    <t>Elektroaizbīdnis DN32 PN16 (noplombēts slēgtā stāvoklī)</t>
  </si>
  <si>
    <t>Ugunsdzēsības sūknu stācija Q=1 l/sek; h=21,3 m; 0,51kW</t>
  </si>
  <si>
    <t>Sanitārtehniskās ierīces (izvēlas pasūtītājs)</t>
  </si>
  <si>
    <t>Keramiskā izlietne komplektā ar sifonu, stiprinājumiem, maisītāju (Rm)</t>
  </si>
  <si>
    <t>Keramiskā izlietne ar puskāju komplektā ar sifonu, stiprinājumiem, maisītāju (Rm)</t>
  </si>
  <si>
    <t>Keramiskais klozetpods, komplektā ar skalojamo kasti (2 režīmu skalošana), ar bidettu Remer Class line , noslēgarmatūru, vāku, (Kp)</t>
  </si>
  <si>
    <t>Virtuves izlietne komplektā ar sifonu, stiprinājumiem, maisītāju (VRm)</t>
  </si>
  <si>
    <t>Sadzīves izlietne komplektā ar sifonu, stiprinājumiem, maisītāju, Hatria Specials 90 (Izl)</t>
  </si>
  <si>
    <t>Vanna  komplektā ar sifonu, stiprinājumiem, maisītāju, dušas maisītāju (V)</t>
  </si>
  <si>
    <t>Vacele ar komplektā ar sifonu, stiprinājumiem, maisītāju</t>
  </si>
  <si>
    <t>Dušas maisītājs (D)</t>
  </si>
  <si>
    <t>Urināls komplektā ar sifonu un maisītāju (U)</t>
  </si>
  <si>
    <t xml:space="preserve">Dušas kanāls ACO "ShowerDrain C", L=900cm; jaucējkrāns, statīvs, dušas siets </t>
  </si>
  <si>
    <t>Keramiskais klozetpods invalīdiem,komplektā ar skalojamo kasti (2 režīmu skalošana), ar bidettu Remer Class line , noslēgarmatūru, vāku,(KpInv)</t>
  </si>
  <si>
    <t>Keramiskā izlietne invalīdiem komplektā ar sifonu, stiprinājumiem, maisītāju (RmInv)</t>
  </si>
  <si>
    <t>Sifons izletnei ar papildus pieslegumu</t>
  </si>
  <si>
    <t>Sadzīves kanalizācijas sistēma K1</t>
  </si>
  <si>
    <t>PE cauruļvadu sistēma spiedkanalizācijai PN10 OD63x3.8</t>
  </si>
  <si>
    <t>OD63</t>
  </si>
  <si>
    <t xml:space="preserve">PP kanalizācijas caurule SN8 ar uzmavu </t>
  </si>
  <si>
    <t>OD110</t>
  </si>
  <si>
    <t>OD75</t>
  </si>
  <si>
    <t>OD50</t>
  </si>
  <si>
    <t>PP kanalizācijas caurules veidgabali</t>
  </si>
  <si>
    <t>OD160</t>
  </si>
  <si>
    <t>PE kanalizācijas caurules veidgabali</t>
  </si>
  <si>
    <t>Pretskaņa izolācija  TUBOLIT AR  TL-70/5-AR</t>
  </si>
  <si>
    <t>Pretskaņa izolācija  TUBOLIT AR  TL-100/5-AR</t>
  </si>
  <si>
    <t>Pretskaņa izolācija  TUBOLIT AR  TL-150/5-AR</t>
  </si>
  <si>
    <t>Revīzija</t>
  </si>
  <si>
    <t>Noslēgtapa tīrīšanas lūka</t>
  </si>
  <si>
    <t xml:space="preserve">Noslēgtapa tīrīšanas </t>
  </si>
  <si>
    <t xml:space="preserve">Traps  </t>
  </si>
  <si>
    <t>DN50</t>
  </si>
  <si>
    <t>Kanalizācijas ventilācijas izvads ar izolāciju Vilpe iekšējais DN110 ārējais DN160 L=500 mm (RAL pēc AR sadaļas), komplektā ar gofrēto cauruli DN110 L=400 mm, blīvslēgu, stiprinājumiem</t>
  </si>
  <si>
    <t>Cauruļvadu hidrauliskā pārbaude</t>
  </si>
  <si>
    <t>Ugunsdrošības manžetes</t>
  </si>
  <si>
    <t>DN70</t>
  </si>
  <si>
    <t>Kanalizācijas sūkņu stacija Q=5 l/sek; h=5,5 m; 1.3 kW</t>
  </si>
  <si>
    <t>Montāžas un palīgmateriāli, stiprinājumi, ugunsdrošības mastika u.c.nepieciešamie materiāli</t>
  </si>
  <si>
    <t>Lietus ūdens kanalizācijas sistēma K2</t>
  </si>
  <si>
    <t>Traps terasei HL80</t>
  </si>
  <si>
    <t>Kondensata novadīšana</t>
  </si>
  <si>
    <t xml:space="preserve">Uponor kompozītcaurule OD 32×3,0, PN10 </t>
  </si>
  <si>
    <t>Izolācija Armacell TUBOLIT DG TL-35/9-DG, grūti degoša</t>
  </si>
  <si>
    <t xml:space="preserve">Kondensātsifons ar bumbiņu </t>
  </si>
  <si>
    <t>SILTUMMEHĀNIKA. SILTUMMEZGLA APSAITE. MODULIS Nr1</t>
  </si>
  <si>
    <t>Automātikas vadības kontrolieris EXIGO 4.1 (Regin AB)</t>
  </si>
  <si>
    <t xml:space="preserve">Papildus materiāli automatikas vadības un siltummezgla iekārtu elektroapgādes apsaitei </t>
  </si>
  <si>
    <t>Karstā ūdens cirkulācijas loka cirk. sūknis.       G- 0,3 l/s, 40 kPa. N-0,1 kW; 230V/1.     Dzeramais ūdens. EVOPLUS 60/180 M SAN (Dabpumps Slr)</t>
  </si>
  <si>
    <t>Karstā ūdens cirkulācijas loka cirk. sūknis. G- 1,5 l/s, 80 kPa.    N-0,47 kW; 230V/1.                      Dzeramais ūdens. EVOPLUS 120/220.32 M SAN  (Dabpumps Slr)</t>
  </si>
  <si>
    <t>Izplešanās trauks karstā ūdens lokam. V-25l; H.max.- 10 bar ar armatūru un stiprināšanas kronšteinu. Reflex C25 DE (Reflex GmbH)</t>
  </si>
  <si>
    <t>Rūpnieciski izolēta karstā ūdens sagatavošanas tvertne V=910l, ar diviem temperatūras indikātoriem, atgaisotāju un tukšošanas vārstu. Izolācijas slānim papildus PVC apvalks</t>
  </si>
  <si>
    <t>Divgaitas vārsts ar elektropiedziņu 0-10V.         G: 3,0  l/s; Kvs - 27. ETVS40-25 RVAN5 24A (Regin AB)</t>
  </si>
  <si>
    <t>Jaucamais siltummainis Q: 250 kW ar: izolācijas apvalku un jaucamajām vītnēm; ūdens, 80-60°C/ūdens, 10-55°C; H1≤10 kPa/H2≤10 kPa</t>
  </si>
  <si>
    <t>Spiediena redukcijas vārsts Ø 25</t>
  </si>
  <si>
    <t>Drošības vārsts  Ø 15, 10 bar</t>
  </si>
  <si>
    <t>Balansējošais vārsts Ø 40 ar mērīšanas nipeļiem un tukšošanas vārstu.</t>
  </si>
  <si>
    <t>Balansējošais vārsts Ø 25 ar mērīšanas nipeļiem un tukšošanas vārstu.</t>
  </si>
  <si>
    <t>Vienvirziena vārsts Ø 20</t>
  </si>
  <si>
    <t>Vienvirziena vārsts Ø 32</t>
  </si>
  <si>
    <t>Noslēgvārsts Ø 15</t>
  </si>
  <si>
    <t>Noslēgvārsts Ø 20</t>
  </si>
  <si>
    <t>Noslēgvārsts Ø 25</t>
  </si>
  <si>
    <t>Noslēgvārsts Ø 32</t>
  </si>
  <si>
    <t>Noslēgvārsts Ø 65</t>
  </si>
  <si>
    <t>Manometrs 10bar ar noslēgvārstu</t>
  </si>
  <si>
    <t>Manometra noslēgvārsts</t>
  </si>
  <si>
    <t>Automātiskais atgaisotājs Ø 15</t>
  </si>
  <si>
    <t>Temperatūras devēju ligzdu montāža  Ø 15</t>
  </si>
  <si>
    <t>Presējamā nerūsējošā tērauda caurule Ø 15</t>
  </si>
  <si>
    <t>Presējamā nerūsējošā tērauda caurule Ø 20</t>
  </si>
  <si>
    <t>Presējamā nerūsējošā tērauda caurule Ø 32</t>
  </si>
  <si>
    <t>Presējamā tērauda caurule Ø 15</t>
  </si>
  <si>
    <t>Presējamā tērauda caurule Ø 65</t>
  </si>
  <si>
    <t>Siltumizolācijas loksne, b-13 mm, ST Kaiflex</t>
  </si>
  <si>
    <t>Siltumizolācijas čaula Ø 15, b-13 mm, ST Kaiflex</t>
  </si>
  <si>
    <t>Siltumizolācijas čaula Ø 20, b-13 mm, ST Kaiflex</t>
  </si>
  <si>
    <t>Siltumizolācijas čaula Ø 32, b-13 mm, ST Kaiflex</t>
  </si>
  <si>
    <t>Siltumizolācijas čaula Ø 65, b-13 mm, ST Kaiflex</t>
  </si>
  <si>
    <t>Veidgabali</t>
  </si>
  <si>
    <t>Montāžas rāmis siltmmehānikas ierīču stiprināšanai. Stiprināms pie grīdas</t>
  </si>
  <si>
    <t>SILTUMMEHĀNIKA. SILTUMMEZGLA APSAITE. MODULIS Nr.2</t>
  </si>
  <si>
    <t>Papildus materiāli automatikas vadības un siltummezgla iekārtu elektroapgādes apsaitei</t>
  </si>
  <si>
    <t>Siltumapgādes loka cirkulācijas sūknis. G- 0,8  l/s, 80 kPa. N-0,17 kW; 230V/1.  Siltumnesējs: Etilēnglikola 35% šķīdums. EVOPLUS 110/180 M (Dabpumps Slr)</t>
  </si>
  <si>
    <t>Lodētais siltummainis Q: 70 kW ar: izolācijas apvalku un jaucamajām vītnēm; ūdens, 80-60°C/ūdens, 70-50°C; H1≤10 kPa/H2≤10 kPa</t>
  </si>
  <si>
    <t>Izplešanās trauks V=80 l, 6 bar ar armatūru un stiprināšanas kronšteinu Reflex C80 (Reflex GmbH)</t>
  </si>
  <si>
    <t>Divgaitas vārsts ar elektropiedziņu 0-10V.         G: 0,8  l/s; Kvs - 10 ETVS25-10 + RVAN5 24A (Regin AB)</t>
  </si>
  <si>
    <t>Drošības vārsts  Ø 15, 3 bar</t>
  </si>
  <si>
    <t>Balansējošais vārsts Ø 32 ar mērīšanas nipeļiem un tukšošanas vārstu.</t>
  </si>
  <si>
    <t>Vienvirziena vārsts Ø 40</t>
  </si>
  <si>
    <t>Noslēgvārsts Ø 40</t>
  </si>
  <si>
    <t>Presējamā tērauda caurule Ø 40</t>
  </si>
  <si>
    <t>Siltumizolācijas čaula Ø 40, b-13 mm, ST Kaiflex</t>
  </si>
  <si>
    <t>SILTUMMEHĀNIKA. SILTUMMEZGLA APSAITE. MODULIS Nr.3</t>
  </si>
  <si>
    <t>Siltumapgādes loka cirkulācijas sūknis. G- 1,6  l/s, 50 kPa. N-0,5 kW; 230V/1.  Siltumnesējs: Etilēnglikola 35% šķīdums. EVOPLUS 120/220.32 M (Dabpumps Slr)</t>
  </si>
  <si>
    <t>Lodētais siltummainis Q: 140 kW ar: izolācijas apvalku un jaucamajām vītnēm; ūdens, 80-60°C/ūdens, 70-50°C; H1≤10 kPa/H2≤10 kPa</t>
  </si>
  <si>
    <t>Izplešanās trauks V=80 l, 6 bar ar armatūru un stiprināšanas kronšteinu Reflex N80 (Reflex GmbH)</t>
  </si>
  <si>
    <t>Divgaitas vārsts ar elektropiedziņu 0-10V.         G: 1,6  l/s; Kvs - 16 ETVS15-1,6 + RVAN5 (Regin AB)</t>
  </si>
  <si>
    <t>Vienvirziena vārsts Ø 50</t>
  </si>
  <si>
    <t>Noslēgvārsts Ø 50</t>
  </si>
  <si>
    <t>Presējamā tērauda caurule Ø 50</t>
  </si>
  <si>
    <t>Siltumizolācijas čaula Ø 50, b-13 mm, ST Kaiflex</t>
  </si>
  <si>
    <t>SILTUMMEHĀNIKA. SILTUMMEZGLA APSAITE. MODULIS Nr.4</t>
  </si>
  <si>
    <t>Siltumapgādes loka cirkulācijas sūknis. G- 0,1  l/s, 50 kPa. N-0,1 kW; 230V/1.  Siltumnesējs: Ūdens. EVOTRON 80/180 (Dabpumps Slr)</t>
  </si>
  <si>
    <t>Lodētais siltummainis Q: 10 kW ar: izolācijas apvalku un jaucamajām vītnēm; ūdens, 80-60°C/ūdens, 70-50°C; H1≤10 kPa/H2≤10 kPa</t>
  </si>
  <si>
    <t>Izplešanās trauks V=25 l, 6 bar ar armatūru un stiprināšanas kronšteinu Reflex N25 (Reflex GmbH)</t>
  </si>
  <si>
    <t>Divgaitas vārsts ar elektropiedziņu 0-10V.         G: 0,1  l/s; Kvs - 1 ETVS15-1,0 + RVAN5 24A (Regin AB)</t>
  </si>
  <si>
    <t>Balansējošais vārsts Ø 15 ar mērīšanas nipeļiem un tukšošanas vārstu.</t>
  </si>
  <si>
    <t>Vienvirziena vārsts Ø 25</t>
  </si>
  <si>
    <t>Presējamā tērauda caurule Ø 25</t>
  </si>
  <si>
    <t>Siltumizolācijas čaula Ø 25, b-13 mm, ST Kaiflex</t>
  </si>
  <si>
    <t>SILTUMMEHĀNIKA. SILTUMMEZGLA APSAITE. MODULIS Nr.5</t>
  </si>
  <si>
    <t>Siltumapgādes loka cirkulācijas sūknis. G- 0,3  l/s, 50 kPa. N-0,2 kW; 230V/1.  Siltumnesējs: Ūdens. EVOTRON 80/180 (Dabpumps Slr)</t>
  </si>
  <si>
    <t>Lodētais siltummainis Q: 30 kW ar: izolācijas apvalku un jaucamajām vītnēm; ūdens, 80-60°C/ūdens, 70-50°C; H1≤10 kPa/H2≤10 kPa</t>
  </si>
  <si>
    <t>Divgaitas vārsts ar elektropiedziņu 0-10V. G: 0,3  l/s; Kvs - 2,5 ETVS15-2,5 + RVAN5 24A (Regin AB)</t>
  </si>
  <si>
    <t>SILTUMMEHĀNIKA. SILTUMMEZGLA APSAITE.</t>
  </si>
  <si>
    <t>Balansējošais vārsts Ø 20 ar mērīšanas nipeļiem un tukšošanas vārstu.</t>
  </si>
  <si>
    <t>Balansējošais vārsts Ø 65 ar flančiem, mērīšanas nipeļiem un tukšošanas vārstu.</t>
  </si>
  <si>
    <t>Dubļu ķērājs Ø 100, ar flančiem</t>
  </si>
  <si>
    <t>Noslēgvārsts Ø 25. Metināms</t>
  </si>
  <si>
    <t>Noslēgvārsts Ø 80. Metināms</t>
  </si>
  <si>
    <t>Noslēgvārsts Ø 100. Ar flančiem, lodveida</t>
  </si>
  <si>
    <t>Presējamā tērauda caurule Ø 20</t>
  </si>
  <si>
    <t>Melnā tērauda caurule Ø 80</t>
  </si>
  <si>
    <t>Melnā tērauda caurule Ø 100</t>
  </si>
  <si>
    <t>Siltumizolācijas čaula Ø 80 b-13 mm, ST Kaiflex</t>
  </si>
  <si>
    <t>Siltumizolācijas čaula Ø 100, b-13 mm, ST Kaiflex</t>
  </si>
  <si>
    <t>PAPILDUS DARBI</t>
  </si>
  <si>
    <t>Materiāli siltumpagādes tīklu pieslēgšanai siltummehānikas elementiem siltummezglā</t>
  </si>
  <si>
    <t>1</t>
  </si>
  <si>
    <t>Automātiskās vadības shēmas izstrāde un saskaņošana</t>
  </si>
  <si>
    <t>Siltummehānikas sistēmu regulēšana un iekārtu darbības pārbaude</t>
  </si>
  <si>
    <t>Sistēmas marķēšanas materiāli</t>
  </si>
  <si>
    <t>Programnodrošinājums</t>
  </si>
  <si>
    <t>INTG-996901 / Pro Software lic</t>
  </si>
  <si>
    <t>LAN izolators</t>
  </si>
  <si>
    <t>Apsardzes signalizācijas sistēmas centrālais panelis</t>
  </si>
  <si>
    <t>INTG-996001EUPS</t>
  </si>
  <si>
    <t>Zonu paplāšinātajs  16 zonas (metāla korpusā ar barošanas bloku)</t>
  </si>
  <si>
    <t>InnerRange 995004</t>
  </si>
  <si>
    <t>Papildus paplāšinātaja plate 16 zonas</t>
  </si>
  <si>
    <t>InnerRange 995006</t>
  </si>
  <si>
    <t>Durvju modulis  (2 durvju kontrolieris/ 2 kartiņū nolasītāji, metāla korpusā ar barošanas bloku)</t>
  </si>
  <si>
    <t>INTG-995200PEEUI + INTG-996012PCB&amp;K</t>
  </si>
  <si>
    <t>Akumulatoru baterija 12V 7.2Ah</t>
  </si>
  <si>
    <t>FIAMM FG20721</t>
  </si>
  <si>
    <t xml:space="preserve">Apsardzes signalizācijas sistēmas LCD vadības klaviatūra </t>
  </si>
  <si>
    <t>INTG-996000W / Prisma terminal</t>
  </si>
  <si>
    <t xml:space="preserve">Bezkontakta kartiņu nolasītājs </t>
  </si>
  <si>
    <t>Rosslare AY-Q64</t>
  </si>
  <si>
    <t>Bezkontakta kartiņu nolasītājs (ārtelpu)</t>
  </si>
  <si>
    <t>Bezkontakta kartiņa</t>
  </si>
  <si>
    <t>Durvju elektromagnētiskā slēdzene ar pretplāksni</t>
  </si>
  <si>
    <t>Durvju pārēja</t>
  </si>
  <si>
    <t>Durvju aizvērējs</t>
  </si>
  <si>
    <t>Trauksmes sirēna</t>
  </si>
  <si>
    <t>SL-150 RED</t>
  </si>
  <si>
    <t>Infrasarkanais kustības detektors</t>
  </si>
  <si>
    <t xml:space="preserve">LC-100PI </t>
  </si>
  <si>
    <t>Kronšteins detektoriem</t>
  </si>
  <si>
    <t>Kustības un stikla plīšanas detektors (PIR+GBD)</t>
  </si>
  <si>
    <t>Flash</t>
  </si>
  <si>
    <t>Durvju magnētiskais kontakts</t>
  </si>
  <si>
    <t>SD70W</t>
  </si>
  <si>
    <t>Paradox Magellan  RTX3</t>
  </si>
  <si>
    <t>Radio poga</t>
  </si>
  <si>
    <t>Trauksmes poga RATIŅKRĒSLA LIETOTĀJA WC</t>
  </si>
  <si>
    <t xml:space="preserve">Signalizācijas kabelis </t>
  </si>
  <si>
    <t>CQR 6x0,22</t>
  </si>
  <si>
    <t xml:space="preserve">Kopnes kabelis </t>
  </si>
  <si>
    <t>UTP 4x2x0,5</t>
  </si>
  <si>
    <t xml:space="preserve">Spēka kabelis </t>
  </si>
  <si>
    <t>NYMJ 3x1,5</t>
  </si>
  <si>
    <t>Instalācijas PVC caurule d=16mm</t>
  </si>
  <si>
    <t>Evopipes</t>
  </si>
  <si>
    <t>Instalācijas PVC gofretā caurule d=16mm</t>
  </si>
  <si>
    <t xml:space="preserve">Ugunsdrošais pildījums </t>
  </si>
  <si>
    <t>divkomponenta putas HILTI</t>
  </si>
  <si>
    <t>Montāžas materiāli (spailes, skrūves, dībeļi, stiprinājumi, skāvas, kabeļu savilces utt.)</t>
  </si>
  <si>
    <t>Sistēmas programmēšana un palaišana</t>
  </si>
  <si>
    <t>Kabelis UTP (4x2x0.5) Category 5e (LSZH)</t>
  </si>
  <si>
    <t>Kabelis FO SM 24x 9/125</t>
  </si>
  <si>
    <t>Zemējuma vads Cu 1x16</t>
  </si>
  <si>
    <t>Komutācijas skapis 19", 42U (800x1000x2000), ar perforētām durvīm (priekšējās durvis- vienviru, slēdzamas; aizmugures durvis- divviru, slēdzamas)</t>
  </si>
  <si>
    <t>UTP, 24 portu, Category 5e datortīkla savienotājpanelis (24x RJ45) 1U</t>
  </si>
  <si>
    <t>FO savienotājpanelis 48 šķiedrām (kompl. ar kaseti un brīvo portu nosegiem)  1U</t>
  </si>
  <si>
    <t>Kabeļu kārtotājs- horizontālais 19" 1U</t>
  </si>
  <si>
    <t>19" 230V barošanas rozešu bloks (ar 6-kontaktiem) 1U</t>
  </si>
  <si>
    <t>Plaukts 19" montējams komutācijas skapī (stiprināms divos punktos) 1U</t>
  </si>
  <si>
    <t>Plaukts 19" montējams komutācijas skapī (stiprināms četros punktos) 1U</t>
  </si>
  <si>
    <t>Ventilators ar termostatu 19", 42U skapim</t>
  </si>
  <si>
    <t>Zemējuma klemme komutācijas skapim</t>
  </si>
  <si>
    <t>Skrūves - uzgriežņi M6 (komutācijas skapim)</t>
  </si>
  <si>
    <t>SC-SC (SM) Duplex adapteris</t>
  </si>
  <si>
    <t xml:space="preserve">SC 9/125 multi mode komutācijas kabelis  </t>
  </si>
  <si>
    <t>Ligzda RJ45, UTP, Category 5e</t>
  </si>
  <si>
    <t>Z/A 2-vietīga vājstrāvas rozete ar pārsegu (2xRJ45)</t>
  </si>
  <si>
    <t>Komutācijas kārba</t>
  </si>
  <si>
    <t>V/A 1-vietīga vājstrāvas rozete (1xRJ45)</t>
  </si>
  <si>
    <t>2-vietīga vājstrāvas rozete- montējama grīdas kārbā (2xRJ45)</t>
  </si>
  <si>
    <t>Instalācijas caurule D=20mm (320N)</t>
  </si>
  <si>
    <t>Gofrēta instalācijas caurule d-20mm (320N)</t>
  </si>
  <si>
    <t>Gofrēta instalācijas caurule d-25mm (ar UV aizsardzību)</t>
  </si>
  <si>
    <t>Gofrēta instalācijas caurule d-32mm (320N)</t>
  </si>
  <si>
    <t>Instalācijas caurule D=50mm (320N)</t>
  </si>
  <si>
    <t>Gofrēta instalācijas caurule d-50mm (320N)</t>
  </si>
  <si>
    <t>Savienojošais kabelis RJ45-RJ45, Cat5e, UTP - 1m</t>
  </si>
  <si>
    <t>Savienojošais kabelis RJ45-RJ45, Cat5e, UTP - 2m</t>
  </si>
  <si>
    <t>Savienojošais kabelis RJ45-RJ45, Cat5e, UTP - 3m</t>
  </si>
  <si>
    <t>Stāvvadu izbūve (caurumu 110mm urbšana)</t>
  </si>
  <si>
    <t xml:space="preserve">Ugunsdrošais pildījums (mastika) </t>
  </si>
  <si>
    <t>Instalācijas materiāli un stiprinājumi</t>
  </si>
  <si>
    <t>Kabeļu mērījumi un rozešu marķēšana</t>
  </si>
  <si>
    <t>Izpilddokumentācijas izgatavošana</t>
  </si>
  <si>
    <t>Pacientu rindas sistēma</t>
  </si>
  <si>
    <t>Telekomunikācijas sistēmas pasīvā daļa</t>
  </si>
  <si>
    <t>Z/A 1-vietīga vājstrāvas rozete ar pārsegu (1xRJ45)</t>
  </si>
  <si>
    <t>Instalācijas caurule D=16mm (320N)</t>
  </si>
  <si>
    <t>Gofrēta instalācijas caurule d-16mm (320N)</t>
  </si>
  <si>
    <t>Sistēmas kontrolieris QT-601-2</t>
  </si>
  <si>
    <t>Sistēmas programnodrošīnajums</t>
  </si>
  <si>
    <t>Datora pieslēgšanas kabelis</t>
  </si>
  <si>
    <t>Akumulātoru baterija 12V 7.2Ah</t>
  </si>
  <si>
    <t>Tīkla dalītājs (spliteris) QT603</t>
  </si>
  <si>
    <t>Personālu izsaukuma poga adrešu QT602E</t>
  </si>
  <si>
    <t>Adrešu indikācijas lampa  QT606A</t>
  </si>
  <si>
    <t xml:space="preserve">Z/A montāzas kārba lampai vai pogam </t>
  </si>
  <si>
    <t>Kopnes kabelis OMY 2x1.0</t>
  </si>
  <si>
    <t>Sistēmas pieslēgšānas kabelis 6x0.22 CQR</t>
  </si>
  <si>
    <t>Spēka kabelis 3x1.5 XPJ</t>
  </si>
  <si>
    <t>Medicīnas kapara caurule dn10</t>
  </si>
  <si>
    <t>Medicīnas kapara caurule dn12</t>
  </si>
  <si>
    <t>Medicīnas kapara caurule dn15</t>
  </si>
  <si>
    <t>tehniskā kapara caurule dn 22</t>
  </si>
  <si>
    <t>Medicīnas nerūsējošā tērauda caurule ar ārējo dn 28 x1,5mm</t>
  </si>
  <si>
    <t>Medicīnas kapara caurule dn 28</t>
  </si>
  <si>
    <t>PE aizsargcaurule dn 50mm</t>
  </si>
  <si>
    <t>dn10 caurules savienojumi</t>
  </si>
  <si>
    <t>dn12 caurules savienojumi</t>
  </si>
  <si>
    <t>dn15 caurules savienojumi</t>
  </si>
  <si>
    <t>dn22 caurules savienojumi</t>
  </si>
  <si>
    <t>Medicīnas nerūsējošā tērauda caurule ar ārējo dn 28 x1,5mm savienojums</t>
  </si>
  <si>
    <t>dn28 caurules savienojumi</t>
  </si>
  <si>
    <t>kapara caurules aizsargcaurule</t>
  </si>
  <si>
    <t>caurles stiprinājums HILTI HUS</t>
  </si>
  <si>
    <t>cauruļskavas</t>
  </si>
  <si>
    <t xml:space="preserve">Gāzes kontroles un trauksmes panelis 4 gāzēm </t>
  </si>
  <si>
    <t>Gāzes kontroles un trauksmes panelis 2 gāzēm</t>
  </si>
  <si>
    <t>Smartlet zemapmetuma gāzu rozete skābeklim DIN</t>
  </si>
  <si>
    <t>sienas kosnole palātām Meryart</t>
  </si>
  <si>
    <t>sienas kosnole procedūras telpā Merylight</t>
  </si>
  <si>
    <t>medicīnas gāzes noslēgventilis dn12</t>
  </si>
  <si>
    <t>medicīnas gāzes noslēgventilis dn15</t>
  </si>
  <si>
    <t>medicīnas gāzes noslēgventilis dn28</t>
  </si>
  <si>
    <t>gaisa noslēgventilis dn28 Nerūšejošā tērauda caurulei</t>
  </si>
  <si>
    <t>lodmateriāli</t>
  </si>
  <si>
    <t>cauruļu marķējums</t>
  </si>
  <si>
    <t>papildmateriāli</t>
  </si>
  <si>
    <t>Adrešu-analogā pults-atkārtotājs (4 cilpas)</t>
  </si>
  <si>
    <t>Protec 6400/RDN/4LPN</t>
  </si>
  <si>
    <t xml:space="preserve">Akumulātoru kaste </t>
  </si>
  <si>
    <t>Battery Box</t>
  </si>
  <si>
    <t>Akumulatoru baterija 12V 18Ah</t>
  </si>
  <si>
    <t>FIAM FG21803</t>
  </si>
  <si>
    <t>Adrešu siltuma detektors</t>
  </si>
  <si>
    <t>Protec 6000PLUS/HT</t>
  </si>
  <si>
    <t>Adrešu dūmu detektors</t>
  </si>
  <si>
    <t>Protec 6000PLUS/OP</t>
  </si>
  <si>
    <t>Adrešu dūmu/siltuma detektors ar izolatoru</t>
  </si>
  <si>
    <t>Protec 6000PLUS/OPHT/I</t>
  </si>
  <si>
    <t>Standarta detektoru pamatne</t>
  </si>
  <si>
    <t>Protec 6000PLUS/BASE</t>
  </si>
  <si>
    <t>Iznesamais LED indikators</t>
  </si>
  <si>
    <t>RI-31</t>
  </si>
  <si>
    <t>Adrešu rokas darbības detektors ar pamatni un izolatoru</t>
  </si>
  <si>
    <t>Protec 6000/MCP/EXP</t>
  </si>
  <si>
    <t>Adrešu trauksmes sirēna ar strobu</t>
  </si>
  <si>
    <t>Protec 6000/SSR2/LED/RED</t>
  </si>
  <si>
    <t xml:space="preserve">Adrešu vadības/kontroles modulis ar pamatni un izolatoru </t>
  </si>
  <si>
    <t>Protec 6000/MICCO</t>
  </si>
  <si>
    <t>Barošanas bloks uz DIN sliede (24VDC,1mod.,10W)</t>
  </si>
  <si>
    <t>SPM1-241</t>
  </si>
  <si>
    <t>Relejs uz DIN sliede (24VDC, 1mod., 4xNO/NC)</t>
  </si>
  <si>
    <t>RHS-424D5P</t>
  </si>
  <si>
    <t>Adrešu konvencionālās līnijas modulis ar pamatni</t>
  </si>
  <si>
    <t>Protec 6000/APZA</t>
  </si>
  <si>
    <t>Siltuma detektors IP67, EX</t>
  </si>
  <si>
    <t>Panasonic 6295</t>
  </si>
  <si>
    <t>Dūmu detektors ar pamatni</t>
  </si>
  <si>
    <t>Teletek SensomagMAG S30</t>
  </si>
  <si>
    <t>Komutācijas kārba ar keramiskām klemmām E30</t>
  </si>
  <si>
    <t>KOPOS</t>
  </si>
  <si>
    <t xml:space="preserve">Kabelis 1x2x1.0+0.8 (ugunsnoturīgs 30 min) </t>
  </si>
  <si>
    <t xml:space="preserve">JE-H(St)H FE 180 PH30 </t>
  </si>
  <si>
    <t xml:space="preserve">Kabelis 2x1.5 (ugunsnoturīgs 30 min) </t>
  </si>
  <si>
    <t>(N)HXH-O E30</t>
  </si>
  <si>
    <t>Instalācijas caurule Ø20 mm</t>
  </si>
  <si>
    <t>Instalācijas caurule gofrēta Ø20 mm</t>
  </si>
  <si>
    <t>UV izturīgā instalācijas caurule Ø20 mm</t>
  </si>
  <si>
    <t>Lokāmas caurules savienojums, trīsstūres caurules savienojums un tt.</t>
  </si>
  <si>
    <t>OBO</t>
  </si>
  <si>
    <t xml:space="preserve">Ugunizturīgais pildījums </t>
  </si>
  <si>
    <t>Ugunsnoturīgas stiprinājumi</t>
  </si>
  <si>
    <t>Marķēšanas lente</t>
  </si>
  <si>
    <t>Dūmu detektoru testešanās aerosols</t>
  </si>
  <si>
    <t>Montāžas materiāli (spailes, skrūves, dībeļi, stiprinājumi, skavas, kabeļu savilces utt.)</t>
  </si>
  <si>
    <t>Kopēju BKUS sistēmas pārprogrammēšana</t>
  </si>
  <si>
    <t>Pasūtītāja personāla apmācība</t>
  </si>
  <si>
    <t>st.</t>
  </si>
  <si>
    <t xml:space="preserve">Kontrolieris </t>
  </si>
  <si>
    <t xml:space="preserve">Plena Bosch LBB 1990/00 </t>
  </si>
  <si>
    <t xml:space="preserve">Komutātors </t>
  </si>
  <si>
    <t xml:space="preserve">Plena Bosch LBB 1992/00 </t>
  </si>
  <si>
    <t xml:space="preserve">Pastiprinātājs 240W  </t>
  </si>
  <si>
    <t>Plena Bosch LBB1935/20</t>
  </si>
  <si>
    <t>Kontroliera atkārtotajs ar indikāciju</t>
  </si>
  <si>
    <t>Plena Bosch LBB1995/00</t>
  </si>
  <si>
    <t>Sistēmas programmnodrošinājums</t>
  </si>
  <si>
    <t xml:space="preserve">Akumulatoru uzlādēšanas iekārta </t>
  </si>
  <si>
    <t>PLN-24CH12</t>
  </si>
  <si>
    <t>Akumulators 12V, 80ah</t>
  </si>
  <si>
    <t>Komutācijas skapis 19" 21U 800x800x1100</t>
  </si>
  <si>
    <t>19" 230V barošanas rozešu bloks (ar 6-kontaktiem)</t>
  </si>
  <si>
    <t xml:space="preserve">Virsapmetuma skaļrunis </t>
  </si>
  <si>
    <t>LB7-UC06E</t>
  </si>
  <si>
    <t>Ugunsizturīgā EVAC spaile</t>
  </si>
  <si>
    <t>BOSCH LBC 1256/00 EVAC Connection adapter</t>
  </si>
  <si>
    <t xml:space="preserve">Signāllīnijas gala ierīce </t>
  </si>
  <si>
    <t>PLN-DMY60</t>
  </si>
  <si>
    <t>Kabelis 1x2x0.8</t>
  </si>
  <si>
    <t>JE-H(St)H FE-180/E30</t>
  </si>
  <si>
    <t>Kabelis 4x2x0.8 E30</t>
  </si>
  <si>
    <t>JE-H(St)H E30/60</t>
  </si>
  <si>
    <t>Barošanas bloks 24V EN54 4A</t>
  </si>
  <si>
    <t>ZSP100-4.0A-18</t>
  </si>
  <si>
    <t>Akumulators 12V, 18Ah</t>
  </si>
  <si>
    <t>FG21803</t>
  </si>
  <si>
    <t>Instalācijas caurules</t>
  </si>
  <si>
    <t>EVOPIPES d-20mm</t>
  </si>
  <si>
    <t>Gofrēta instalācijas caurules</t>
  </si>
  <si>
    <t>HILTI</t>
  </si>
  <si>
    <t>Skapis CCG</t>
  </si>
  <si>
    <t>Automātikas vadības skapis Coffret 3D 1000x800x300</t>
  </si>
  <si>
    <t>Vadības skapis</t>
  </si>
  <si>
    <t>Ievadslēdzis Dilos 00  3P 40 A, Schneider Electric</t>
  </si>
  <si>
    <t>Dilos 00 40A</t>
  </si>
  <si>
    <t xml:space="preserve">Kabeļu ievadplate  </t>
  </si>
  <si>
    <t xml:space="preserve">90x330 mm. </t>
  </si>
  <si>
    <t xml:space="preserve">Spaile zila  </t>
  </si>
  <si>
    <t>6 mm2</t>
  </si>
  <si>
    <t xml:space="preserve">Zemēšanas spaile  </t>
  </si>
  <si>
    <t xml:space="preserve">Zemēšana spaile  </t>
  </si>
  <si>
    <t>4 mm2</t>
  </si>
  <si>
    <t>Kontrolieris DEOS</t>
  </si>
  <si>
    <t>COSMOS OPEN 810/12</t>
  </si>
  <si>
    <t xml:space="preserve">Kontrolieris, DEOS </t>
  </si>
  <si>
    <t>DS-C-DI8DO8T</t>
  </si>
  <si>
    <t>DS-C-AI4AO8</t>
  </si>
  <si>
    <t>DS-C-DI16</t>
  </si>
  <si>
    <t>Tīkla savienotājs, DEOS</t>
  </si>
  <si>
    <t>DS-PKM</t>
  </si>
  <si>
    <t>Rūteris, DEOS</t>
  </si>
  <si>
    <t xml:space="preserve">DS-2160B-A </t>
  </si>
  <si>
    <t>Vizualizācijas programma, DEOS</t>
  </si>
  <si>
    <t>CosmoWeb</t>
  </si>
  <si>
    <t>M-Bus līmeņu skaitītājs (līdz 60 iekārtām)</t>
  </si>
  <si>
    <t>DEOS DS-MBus60</t>
  </si>
  <si>
    <t>Modbus datu  punkti, DEOS</t>
  </si>
  <si>
    <t>DEOS DS-MOD MA250</t>
  </si>
  <si>
    <t>Dators DELL  ar monitoru</t>
  </si>
  <si>
    <t>BMS Dators</t>
  </si>
  <si>
    <t>Transformātors 100..240 V AC - 24 V - 3 A, Schneider Electric</t>
  </si>
  <si>
    <t>ABL8REM24030</t>
  </si>
  <si>
    <t>Releja pamatne  2p, Schneider Electric</t>
  </si>
  <si>
    <t>Starpreleji 24 VDC, Schneider Electric</t>
  </si>
  <si>
    <t>Rozete 2P+T - 16 A 250 V, Schneider Electric</t>
  </si>
  <si>
    <t>Rozete 250V 16A</t>
  </si>
  <si>
    <t>Poga restarts 24VAC/DC, Schneider Electric</t>
  </si>
  <si>
    <t>XB4BVB6</t>
  </si>
  <si>
    <t>Aizsardzības automāts  6 A - B 1P, Schneider Electric</t>
  </si>
  <si>
    <t>Spuldze zaļa, 24 VDC, Schneider Electric</t>
  </si>
  <si>
    <t>XB4 BVB3</t>
  </si>
  <si>
    <t>Spuldze sarkana, 24 VDC, Schneider Electric</t>
  </si>
  <si>
    <t>XB4 BVB4</t>
  </si>
  <si>
    <t>3 stāvu klemmes, PHOENIX</t>
  </si>
  <si>
    <t xml:space="preserve">2 stāvu  klemmes, PHOENIX </t>
  </si>
  <si>
    <t>2 stāvu zemes spaile, PHOENIX</t>
  </si>
  <si>
    <t>2 pozīciju pārslēdzis, Schneider Electric</t>
  </si>
  <si>
    <t>Ugunsdrošā aizdare vai ekvivalents</t>
  </si>
  <si>
    <t>Hilti</t>
  </si>
  <si>
    <t xml:space="preserve">Palīgmateriāli </t>
  </si>
  <si>
    <t>Marķēšana</t>
  </si>
  <si>
    <t xml:space="preserve">Projekta vadība </t>
  </si>
  <si>
    <t>Programmēšana, ieregulēšana, palaišana, apmācība</t>
  </si>
  <si>
    <t>Izpilddokumentācija</t>
  </si>
  <si>
    <t>Savilces dažādas</t>
  </si>
  <si>
    <t>Kabeļu specifikācija</t>
  </si>
  <si>
    <t>Kabelis</t>
  </si>
  <si>
    <t>LiYCY-O 7x1 mm^2</t>
  </si>
  <si>
    <t>LiYCY-O 4x1 mm^2</t>
  </si>
  <si>
    <t>UNITRONIC® PUR CP (TP) 2x2x0,75 mm^2</t>
  </si>
  <si>
    <t>Ethernet 5 Cat 4x2x0,25  mm^2</t>
  </si>
  <si>
    <t>UNITRONIC® Li2YCY (TP) (MBus) 1x2x0,75 mm^2</t>
  </si>
  <si>
    <t>UNITRONIC® PUR CP (TP) (Modbus) 2x2x0,75 mm^2</t>
  </si>
  <si>
    <t>NYM-J 4*1,5 mm^2</t>
  </si>
  <si>
    <t>Gofrētā caurule 16 mm</t>
  </si>
  <si>
    <t>Cietā caurule 25mm</t>
  </si>
  <si>
    <t>Dūmu loga vadības pults ar akumulatora bateriju 2x12V komplektā</t>
  </si>
  <si>
    <t>ACTULUX SVM 24V 5A Basic</t>
  </si>
  <si>
    <t>Konfigurācijas programma</t>
  </si>
  <si>
    <t>Dūmu loga/lūka trauksmes poga ar indikāciju</t>
  </si>
  <si>
    <t>ACTULUX Fire switch BVT IP40 Orange</t>
  </si>
  <si>
    <t>Dūmu novadīšanas loga piedziņa</t>
  </si>
  <si>
    <t>iekļauts AR spec.(Actulux Ķēžu motors HCV 500N/800mm )</t>
  </si>
  <si>
    <t>Vedināšanas poga</t>
  </si>
  <si>
    <t xml:space="preserve">ACTULUX Comfort switch OPUS IP20 </t>
  </si>
  <si>
    <t>Lietus sensors</t>
  </si>
  <si>
    <t>Komutācijas kārba ar keramiskām rindspailiem  (ugunsnoturīgs 30 min)</t>
  </si>
  <si>
    <t>Kabelis ugunsnoturīgs 30 min 2x2,5 mm2</t>
  </si>
  <si>
    <t>NHXCH FH180 E30</t>
  </si>
  <si>
    <t>Kabelis ugunsnoturīgs 30 min 4x2x0,8</t>
  </si>
  <si>
    <t>Kabelis 2x2x0,8</t>
  </si>
  <si>
    <t>J-Y(ST)Y</t>
  </si>
  <si>
    <t>Kabeļu ugunsnoturīgas stiprinājums</t>
  </si>
  <si>
    <t>Bullet IP videokamera: 1/3 4Mpix CMOS;  2.7~13.5mm/F1.4 motorizēts,  autofokuss, H:106°~H:31°; 0.03Lux/F1.4 (Krāsains), 0Lux/F1.4(IR ieslēgts); Day/Night(ICR); WDR-120dB; IR-50m; H.265+/H.265/H.264+/H.264; 4M(2688x1520), 30fps@4M; 3 plūsmas; Smart funkcija (Zonas šķērsošana, Iejaukšanās zonā, Skata maiņa, Atstāts/Pārbīdīts priekšmets, Seju noteikšana); ONVIF(2.4), PSIA, CGI; Audio (1/1); Alarm (2/1); Micro SD, 128GB maks; IP67; IK10; -30°C~+60°C; DC12V, ePoE 800m, PoE (802.3af), maks. 12.95W; Opcijas: PFA121</t>
  </si>
  <si>
    <t>Kārba uzliekamā: alumīnijs; balts; 134x134x55mm; 0.55kg, IP66; Slodze līdz 3kg</t>
  </si>
  <si>
    <t>Kupola IP videokamera: 1/2.7 5Mpix CMOS; 2.7-13.5mm/F1.4 Motorizēts, H:95°~H:27°; 0.02Lux/F1.4 (Krāsains), 0Lux/F1.4(IR ieslēgts); Day/Night(ICR); WDR-120dB; IR-30m; H.265+/H.265, H.264+/H.264H; 5M(2592x1944), 20fps@5MP, 30fps@3MP; 2 plūsmas;  (Tripwire, Intrusion); ONVIF profile S&amp;G, CGI; Micro SD; IP67; IK10; -30°C~+60°C; DC12V, PoE (802.3af)(class 0), maks. 9.5W; Opcijas: PFA137, PFB203W, PFA152-E</t>
  </si>
  <si>
    <t>LAN pārsprieguma aizsardzība</t>
  </si>
  <si>
    <t>19" kom. skapī montējama DIN sliede, 1U</t>
  </si>
  <si>
    <t>F/UTP konektors (Jack) Cat5e, RJ45</t>
  </si>
  <si>
    <t>Savienotājkabelis Cat5e, F/UTP, 0.2m</t>
  </si>
  <si>
    <t>Savienotājkabelis Cat5e, F/UTP, 0.5m</t>
  </si>
  <si>
    <t>Savienotājkabelis Cat5e, F/UTP, 2m</t>
  </si>
  <si>
    <t>Kabelis F/UTP (4x2x0.5) Category 5e (LSZH)</t>
  </si>
  <si>
    <t>F/UTP, 24 portu, Category 5e datortīkla savienotājpanelis (24x RJ45) 1U</t>
  </si>
  <si>
    <t>Instalācijas caurule D=16mm, 320N</t>
  </si>
  <si>
    <t>Gofrēta instalācijas caurule D=16mm, 320N</t>
  </si>
  <si>
    <t xml:space="preserve">Ugunsdrošie pildījumi (mastika) </t>
  </si>
  <si>
    <t>Kabeļu mērījumi</t>
  </si>
  <si>
    <t>Video kameru redzes leņķa regulēšana, pēc pasūtītāja norādēm</t>
  </si>
  <si>
    <t>3-1</t>
  </si>
  <si>
    <t>Tehnikas mobilizācija</t>
  </si>
  <si>
    <t>Ceļu tehnikas mobilizācija, demobilizācija, būvlaukuma ierīkošana, uzturēšana nojaukšana, satiksmes organizēšana un darba vietu aprīkojums</t>
  </si>
  <si>
    <t>Sagatavošanas darbi</t>
  </si>
  <si>
    <t>Teritorijas planēšana</t>
  </si>
  <si>
    <t>Asfaltbetona demontāža</t>
  </si>
  <si>
    <t>Bruģa seguma demontāža</t>
  </si>
  <si>
    <t>Demontēto segumu būvgružu un nederīgās grunts aizvešana</t>
  </si>
  <si>
    <t>Augsnes pievešana un plānešana zālienam un dekoratīvajiem augiem</t>
  </si>
  <si>
    <t>Bruģakmens segums gājēju un velo ceļiem</t>
  </si>
  <si>
    <t>Salizturīgās kārtas būvniecība, h=300mm</t>
  </si>
  <si>
    <t>Šķembu maisījums 0/45, b=100mm</t>
  </si>
  <si>
    <t>Sīkšķembu kārtas izbūve, h=40mm</t>
  </si>
  <si>
    <t>Bruģakmens seguma izveide, b=80mm</t>
  </si>
  <si>
    <t>Bruģakmens segums (virsējo kārtu pārbūve esošajām iebrauktuvēm)</t>
  </si>
  <si>
    <t>Asfaltseguma atjaunošana</t>
  </si>
  <si>
    <t>Šķembu maisījums 0/45, b=250mm</t>
  </si>
  <si>
    <t>Asfaltseguma AC11 izveide, b=50mm</t>
  </si>
  <si>
    <t>Apmales</t>
  </si>
  <si>
    <t>Bortakmeņu uzstādīšana, 1000*300*150mm, ieskaitot sagatavošanas kārtu izveidi (drenējoša smilts, škembu maisījums 100mm, betons C30/37, 100mm)</t>
  </si>
  <si>
    <t>Bortakmeņu uzstādīšana, 1000*220*150mm, ieskaitot sagatavošanas kārtu izveidi (drenējoša smilts, škembu maisījums 100mm, betons C30/37, 100mm)</t>
  </si>
  <si>
    <t>Slīpo bortakmeņu uzstādīšana, 1000*300*150mm, ieskaitot sagatavošanas kārtu izveidi (drenējoša smilts, škembu maisījums 100mm, betons C30/37, 100mm)</t>
  </si>
  <si>
    <t>Bortakmeņu uzstādīšana, 1000*200*80mm, ieskaitot sagatavošanas kārtu izveidi (drenējoša smilts, škembu maisījums 100mm, betons C30/37, 100mm)</t>
  </si>
  <si>
    <t>Apzaļumošanas darbi</t>
  </si>
  <si>
    <t>Teritorijas apazaļumošana</t>
  </si>
  <si>
    <t>Labiekārtojuma elementi</t>
  </si>
  <si>
    <t>Soliņu uzstādīšana</t>
  </si>
  <si>
    <t>Atkritumu urnu uzstādīšana</t>
  </si>
  <si>
    <t>Veloturētāju uzstādīšana</t>
  </si>
  <si>
    <t>Apgaismes ķermeņu uzstādīšana</t>
  </si>
  <si>
    <t>Ceļā zīmju uzstādīšana</t>
  </si>
  <si>
    <t>Augu kastes uzstādīšana, ieskaitot dekoratīvus stādījumus, 1500*600mm</t>
  </si>
  <si>
    <t>4-1</t>
  </si>
  <si>
    <t>Ārējā ūdensapgāde, kanalizācija</t>
  </si>
  <si>
    <t>4-2</t>
  </si>
  <si>
    <t>Siltumtrase</t>
  </si>
  <si>
    <t xml:space="preserve"> Ū1 (dzeramais ūdens)</t>
  </si>
  <si>
    <t>Ūdensapgādes PE caurule OD110mm, PN10, esoša kanalā,  montāža</t>
  </si>
  <si>
    <t>Ūdensapgādes PE caurule OD25 mm, PN10</t>
  </si>
  <si>
    <t>OD25</t>
  </si>
  <si>
    <t>Pievienojums esošam ūdensvadam d100</t>
  </si>
  <si>
    <t xml:space="preserve">Lietus kanalizācijas sistēma K2 </t>
  </si>
  <si>
    <t>Kanalizācijas PP uzmavu caurule, SN8kN/m2,  EN 13476.  Aploces elastīgums RF30, triecienizturība veikta pie -10oC. Iebūves dziļums līdz 1,0m.</t>
  </si>
  <si>
    <t>OD/DN200</t>
  </si>
  <si>
    <t>OD/DN110</t>
  </si>
  <si>
    <t>Plastmasas PP cauruļu veidgabali</t>
  </si>
  <si>
    <t>Ūdensapgādes PE cauruļu veidgabali</t>
  </si>
  <si>
    <t>Revizija DN200</t>
  </si>
  <si>
    <t>Gūlija ACO Self</t>
  </si>
  <si>
    <t>Gūlijas D400 ar gofrēto akas korpusu H=1,54-1,59m, apbetonējumu 0.25m3, pamatni, blīvslēgu, teleskopisko cauruli, četrkantainu resti un atbilstoša diametra, augstuma un leņķa pievienojumiem,  izbūve stiprinātā asfaltā</t>
  </si>
  <si>
    <t>D560/315</t>
  </si>
  <si>
    <t>Hidraulisko vairogu uzstādīšana būvbedru sienu nostiprināšanai (izmantojami pie tranšeju dziļuma &gt; 2,0m)</t>
  </si>
  <si>
    <t xml:space="preserve">Gruntsūdens līmeņa pazemināšana </t>
  </si>
  <si>
    <t>Pamatu šķērsojums ar apvalkcauruli un blīvējuma palīgmateriāliem</t>
  </si>
  <si>
    <t>vietas</t>
  </si>
  <si>
    <t>Marķējuma lentas ieklāšana lietus kanalizācijai</t>
  </si>
  <si>
    <t>Betons aku vāku stiprināšanai</t>
  </si>
  <si>
    <t>Betons izlaides caurules nostiprināšanai grāvī</t>
  </si>
  <si>
    <t>Šķembas, frakcijas 20-50mm</t>
  </si>
  <si>
    <t>Ģeotekstils</t>
  </si>
  <si>
    <t>Šķērsojumi ar esošo kabeli</t>
  </si>
  <si>
    <t>Kanalizācijas tīkla skalošana</t>
  </si>
  <si>
    <t>Zemes darbi (K2)</t>
  </si>
  <si>
    <t>Tranšejas rakšana, grunts izstrāde ar ekskavatoru, vidējais dziļums līdz h = 2,00m</t>
  </si>
  <si>
    <t>Izlīdzinošā smilts slāņa 0.15 izbūve zem caurules</t>
  </si>
  <si>
    <t>Cauruļvada aizbēršana ar smilti 0.3m virs caurules</t>
  </si>
  <si>
    <t>Grunts atpakaļ aizbēršana blietējot</t>
  </si>
  <si>
    <t xml:space="preserve">Liekās grunts izvešana </t>
  </si>
  <si>
    <t xml:space="preserve">Dzelzsbetona spiediena dzēšanas kanalizācijas akas izbūve no saliekamiem dzelzbetona grodiem, EN 1917:2003 ar iestrādātiem gumijas blīvgredzeniem, vāks slēdzams, no kaļamā ķeta ar gumijas blīvējumiem. Iebūves dziļums līdz 1.5m. </t>
  </si>
  <si>
    <t>D1000</t>
  </si>
  <si>
    <t>Pieslegums esošai kanalizācijai esošā akā</t>
  </si>
  <si>
    <t>Tāme Nr.4.2</t>
  </si>
  <si>
    <t>Noslēgvārsts Ø 100. Metināms</t>
  </si>
  <si>
    <t>Melnā tērauda caurule Ø 25</t>
  </si>
  <si>
    <t>Siltumizolācijas loksne, b-25 mm. Kaimann GmbH. Kods: Kaiflex Protect F-BLACK ST</t>
  </si>
  <si>
    <t>Siltumizolācijas čaula Ø 25, b-25 mm ar papildus aizsargpārklājumu. Kaimann GmbH. Kods: Kaiflex Protect F-BLACK ST</t>
  </si>
  <si>
    <t>Siltumizolācijas čaula Ø 100, b-25 mm ar papildus aizsargpārklājumu. Kaimann GmbH. Kods: Kaiflex Protect F-BLACK ST</t>
  </si>
  <si>
    <t>Pretkorozijas slānis, kurš sastāv no gruntskrāsas GF-021-vienā kārtā un krāsas BT-177 divās kārtās</t>
  </si>
  <si>
    <t>Materiāli siltumpagādes tīklu pieslēgšanai eosšajiem siltumtīkliem</t>
  </si>
  <si>
    <t>Tips, kods</t>
  </si>
  <si>
    <t>m²</t>
  </si>
  <si>
    <r>
      <t>m</t>
    </r>
    <r>
      <rPr>
        <vertAlign val="superscript"/>
        <sz val="9"/>
        <rFont val="Times New Roman"/>
        <family val="1"/>
        <charset val="186"/>
      </rPr>
      <t>3</t>
    </r>
  </si>
  <si>
    <r>
      <t>m</t>
    </r>
    <r>
      <rPr>
        <vertAlign val="superscript"/>
        <sz val="10"/>
        <rFont val="Times New Roman"/>
        <family val="1"/>
        <charset val="186"/>
      </rPr>
      <t>3</t>
    </r>
  </si>
  <si>
    <r>
      <t xml:space="preserve">Spirta termometrs 0 - 110 </t>
    </r>
    <r>
      <rPr>
        <vertAlign val="superscript"/>
        <sz val="9"/>
        <rFont val="Times New Roman"/>
        <family val="1"/>
        <charset val="186"/>
      </rPr>
      <t>0</t>
    </r>
    <r>
      <rPr>
        <sz val="9"/>
        <rFont val="Times New Roman"/>
        <family val="1"/>
        <charset val="186"/>
      </rPr>
      <t>C ar manometra noslēgvārstu</t>
    </r>
  </si>
  <si>
    <r>
      <t>m</t>
    </r>
    <r>
      <rPr>
        <vertAlign val="superscript"/>
        <sz val="9"/>
        <rFont val="Times New Roman"/>
        <family val="1"/>
        <charset val="186"/>
      </rPr>
      <t>2</t>
    </r>
  </si>
  <si>
    <t>Ugunsdzēsības krāns DN25 komplektā ar krāna kasti 650x700x250 virs apmetuma; ar pusstingro šļūteni d25, šļūtenes garums L=20metri; noslēdzams stobrs Ø12mm</t>
  </si>
  <si>
    <t>Ugunsdzēsības krāns DN25 komplektā ar krāna kasti 650x700x250 izbūvei nišā; ar pusstingro šļūteni d25, šļūtenes garums L=20metri; noslēdzams stobrs Ø12mm</t>
  </si>
  <si>
    <r>
      <t xml:space="preserve">Spirta termometrs 0 </t>
    </r>
    <r>
      <rPr>
        <vertAlign val="superscript"/>
        <sz val="9"/>
        <rFont val="Times New Roman"/>
        <family val="1"/>
        <charset val="186"/>
      </rPr>
      <t>0</t>
    </r>
    <r>
      <rPr>
        <sz val="9"/>
        <rFont val="Times New Roman"/>
        <family val="1"/>
        <charset val="186"/>
      </rPr>
      <t xml:space="preserve">C-150 </t>
    </r>
    <r>
      <rPr>
        <vertAlign val="superscript"/>
        <sz val="9"/>
        <rFont val="Times New Roman"/>
        <family val="1"/>
        <charset val="186"/>
      </rPr>
      <t>0</t>
    </r>
    <r>
      <rPr>
        <sz val="9"/>
        <rFont val="Times New Roman"/>
        <family val="1"/>
        <charset val="186"/>
      </rPr>
      <t>C</t>
    </r>
  </si>
  <si>
    <r>
      <t>Ultraskaņas siltuma skaitītājs. G.</t>
    </r>
    <r>
      <rPr>
        <vertAlign val="subscript"/>
        <sz val="9"/>
        <rFont val="Times New Roman"/>
        <family val="1"/>
        <charset val="186"/>
      </rPr>
      <t>MIN</t>
    </r>
    <r>
      <rPr>
        <sz val="9"/>
        <rFont val="Times New Roman"/>
        <family val="1"/>
        <charset val="186"/>
      </rPr>
      <t>-2,5 m</t>
    </r>
    <r>
      <rPr>
        <vertAlign val="superscript"/>
        <sz val="9"/>
        <rFont val="Times New Roman"/>
        <family val="1"/>
        <charset val="186"/>
      </rPr>
      <t>3</t>
    </r>
    <r>
      <rPr>
        <sz val="9"/>
        <rFont val="Times New Roman"/>
        <family val="1"/>
        <charset val="186"/>
      </rPr>
      <t>/h. G.nom-20,0 m</t>
    </r>
    <r>
      <rPr>
        <vertAlign val="superscript"/>
        <sz val="9"/>
        <rFont val="Times New Roman"/>
        <family val="1"/>
        <charset val="186"/>
      </rPr>
      <t>3</t>
    </r>
    <r>
      <rPr>
        <sz val="9"/>
        <rFont val="Times New Roman"/>
        <family val="1"/>
        <charset val="186"/>
      </rPr>
      <t>/h. Datu nolasīšanas ierīce ar pieslēgtiem diviem temperatūras sensoriem. Papildus vājstrāvu kabeļi. Elektrobarošana ar baterijām. SSCU 50-15-HR (Regin AB)</t>
    </r>
  </si>
  <si>
    <t>Kārba uzliekamā: alumīnijs; balts; ф122x33.8mm; 0.18kg; IP65; Slodze līdz 1kg</t>
  </si>
  <si>
    <t>brīdinājuma lenta</t>
  </si>
  <si>
    <t>Tranšejas rakšana, cauruļvadu guldīšana un tranšejas aizbēršana</t>
  </si>
  <si>
    <t>Seguma atjaunošana tranšejas vietā ceļiem un ietvēm</t>
  </si>
  <si>
    <t xml:space="preserve">Zāliena atjaunošana tranšejas vietā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</si>
</sst>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_€_-;\-* #,##0.00\ _€_-;_-* &quot;-&quot;??\ _€_-;_-@_-"/>
    <numFmt numFmtId="165" formatCode="_-* #,##0.00_-;\-* #,##0.00_-;_-* \-??_-;_-@_-"/>
    <numFmt numFmtId="166" formatCode="m\o\n\th\ d\,\ yyyy"/>
    <numFmt numFmtId="167" formatCode="#.00"/>
    <numFmt numFmtId="168" formatCode="#."/>
    <numFmt numFmtId="169" formatCode="0.0"/>
    <numFmt numFmtId="170" formatCode="#"/>
    <numFmt numFmtId="171" formatCode="#,##0.00\ [$€-1]"/>
    <numFmt numFmtId="172" formatCode="mmm\ dd"/>
  </numFmts>
  <fonts count="54">
    <font>
      <sz val="10"/>
      <name val="Arial"/>
      <family val="2"/>
      <charset val="186"/>
    </font>
    <font>
      <sz val="10"/>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0"/>
      <name val="Arial"/>
      <family val="2"/>
    </font>
    <font>
      <sz val="11"/>
      <color indexed="8"/>
      <name val="Calibri"/>
      <family val="2"/>
      <charset val="204"/>
    </font>
    <font>
      <sz val="11"/>
      <color indexed="8"/>
      <name val="Calibri"/>
      <family val="2"/>
      <charset val="186"/>
    </font>
    <font>
      <sz val="10"/>
      <color indexed="8"/>
      <name val="MS Sans Serif"/>
      <family val="2"/>
      <charset val="186"/>
    </font>
    <font>
      <sz val="12"/>
      <name val="BaltCenturyOldStyle"/>
      <family val="2"/>
    </font>
    <font>
      <sz val="10"/>
      <color indexed="64"/>
      <name val="Arial"/>
      <family val="2"/>
      <charset val="186"/>
    </font>
    <font>
      <sz val="10"/>
      <name val="Times New Roman"/>
      <family val="1"/>
      <charset val="186"/>
    </font>
    <font>
      <sz val="12"/>
      <name val="Times New Roman"/>
      <family val="1"/>
      <charset val="186"/>
    </font>
    <font>
      <b/>
      <sz val="12"/>
      <name val="Times New Roman"/>
      <family val="1"/>
      <charset val="186"/>
    </font>
    <font>
      <sz val="11"/>
      <name val="Times New Roman"/>
      <family val="1"/>
      <charset val="186"/>
    </font>
    <font>
      <b/>
      <sz val="11"/>
      <name val="Times New Roman"/>
      <family val="1"/>
      <charset val="186"/>
    </font>
    <font>
      <b/>
      <sz val="13"/>
      <name val="Times New Roman"/>
      <family val="1"/>
      <charset val="186"/>
    </font>
    <font>
      <sz val="11"/>
      <color indexed="10"/>
      <name val="Times New Roman"/>
      <family val="1"/>
      <charset val="186"/>
    </font>
    <font>
      <sz val="8"/>
      <name val="Times New Roman"/>
      <family val="1"/>
      <charset val="186"/>
    </font>
    <font>
      <b/>
      <sz val="14"/>
      <name val="Times New Roman"/>
      <family val="1"/>
      <charset val="186"/>
    </font>
    <font>
      <b/>
      <sz val="10"/>
      <name val="Times New Roman"/>
      <family val="1"/>
      <charset val="186"/>
    </font>
    <font>
      <sz val="11"/>
      <color indexed="8"/>
      <name val="Times New Roman"/>
      <family val="1"/>
      <charset val="186"/>
    </font>
    <font>
      <sz val="14"/>
      <name val="Times New Roman"/>
      <family val="1"/>
      <charset val="186"/>
    </font>
    <font>
      <i/>
      <sz val="11"/>
      <name val="Times New Roman"/>
      <family val="1"/>
      <charset val="186"/>
    </font>
    <font>
      <sz val="11"/>
      <color theme="1"/>
      <name val="Calibri"/>
      <family val="2"/>
      <charset val="186"/>
      <scheme val="minor"/>
    </font>
    <font>
      <sz val="11"/>
      <color theme="1"/>
      <name val="Times New Roman"/>
      <family val="1"/>
      <charset val="186"/>
    </font>
    <font>
      <sz val="12"/>
      <color theme="0"/>
      <name val="Times New Roman"/>
      <family val="1"/>
      <charset val="186"/>
    </font>
    <font>
      <sz val="11"/>
      <color rgb="FFFF0000"/>
      <name val="Times New Roman"/>
      <family val="1"/>
      <charset val="186"/>
    </font>
    <font>
      <sz val="10"/>
      <color rgb="FFFF0000"/>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b/>
      <sz val="10"/>
      <color theme="1"/>
      <name val="Times New Roman"/>
      <family val="1"/>
      <charset val="186"/>
    </font>
    <font>
      <sz val="10"/>
      <color theme="5" tint="-0.499984740745262"/>
      <name val="Times New Roman"/>
      <family val="1"/>
      <charset val="186"/>
    </font>
    <font>
      <b/>
      <sz val="12"/>
      <color theme="1"/>
      <name val="Times New Roman"/>
      <family val="1"/>
      <charset val="186"/>
    </font>
    <font>
      <sz val="11"/>
      <color theme="5" tint="-0.499984740745262"/>
      <name val="Times New Roman"/>
      <family val="1"/>
      <charset val="186"/>
    </font>
    <font>
      <i/>
      <sz val="11"/>
      <color theme="5" tint="-0.499984740745262"/>
      <name val="Times New Roman"/>
      <family val="1"/>
      <charset val="186"/>
    </font>
    <font>
      <i/>
      <sz val="11"/>
      <color theme="1"/>
      <name val="Times New Roman"/>
      <family val="1"/>
      <charset val="186"/>
    </font>
    <font>
      <b/>
      <sz val="11"/>
      <color rgb="FFFF0000"/>
      <name val="Times New Roman"/>
      <family val="1"/>
      <charset val="186"/>
    </font>
    <font>
      <sz val="10"/>
      <name val="Tahoma"/>
      <family val="2"/>
      <charset val="186"/>
    </font>
    <font>
      <b/>
      <sz val="9"/>
      <name val="Arial"/>
      <family val="2"/>
      <charset val="186"/>
    </font>
    <font>
      <sz val="9"/>
      <name val="Arial"/>
      <family val="2"/>
    </font>
    <font>
      <b/>
      <sz val="9"/>
      <name val="Arial"/>
      <family val="2"/>
    </font>
    <font>
      <b/>
      <sz val="9"/>
      <name val="Times New Roman"/>
      <family val="1"/>
      <charset val="186"/>
    </font>
    <font>
      <sz val="9"/>
      <name val="Times New Roman"/>
      <family val="1"/>
      <charset val="186"/>
    </font>
    <font>
      <vertAlign val="superscript"/>
      <sz val="9"/>
      <name val="Times New Roman"/>
      <family val="1"/>
      <charset val="186"/>
    </font>
    <font>
      <b/>
      <i/>
      <sz val="10"/>
      <name val="Times New Roman"/>
      <family val="1"/>
      <charset val="186"/>
    </font>
    <font>
      <b/>
      <i/>
      <u/>
      <sz val="10"/>
      <name val="Times New Roman"/>
      <family val="1"/>
      <charset val="186"/>
    </font>
    <font>
      <i/>
      <u/>
      <sz val="10"/>
      <name val="Times New Roman"/>
      <family val="1"/>
      <charset val="186"/>
    </font>
    <font>
      <vertAlign val="superscript"/>
      <sz val="10"/>
      <name val="Times New Roman"/>
      <family val="1"/>
      <charset val="186"/>
    </font>
    <font>
      <b/>
      <i/>
      <sz val="9"/>
      <name val="Times New Roman"/>
      <family val="1"/>
      <charset val="186"/>
    </font>
    <font>
      <vertAlign val="subscript"/>
      <sz val="9"/>
      <name val="Times New Roman"/>
      <family val="1"/>
      <charset val="186"/>
    </font>
    <font>
      <b/>
      <u/>
      <sz val="9"/>
      <name val="Times New Roman"/>
      <family val="1"/>
      <charset val="186"/>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22"/>
      </right>
      <top/>
      <bottom/>
      <diagonal/>
    </border>
    <border>
      <left/>
      <right/>
      <top style="thin">
        <color indexed="64"/>
      </top>
      <bottom/>
      <diagonal/>
    </border>
    <border>
      <left style="dotted">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style="thin">
        <color rgb="FF000000"/>
      </left>
      <right style="thin">
        <color rgb="FF000000"/>
      </right>
      <top style="thin">
        <color indexed="64"/>
      </top>
      <bottom style="hair">
        <color indexed="64"/>
      </bottom>
      <diagonal/>
    </border>
    <border>
      <left style="thin">
        <color rgb="FF000000"/>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s>
  <cellStyleXfs count="68">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166" fontId="3" fillId="0" borderId="0">
      <protection locked="0"/>
    </xf>
    <xf numFmtId="0" fontId="7" fillId="0" borderId="0"/>
    <xf numFmtId="167" fontId="3" fillId="0" borderId="0">
      <protection locked="0"/>
    </xf>
    <xf numFmtId="168" fontId="4" fillId="0" borderId="0">
      <protection locked="0"/>
    </xf>
    <xf numFmtId="168" fontId="4" fillId="0" borderId="0">
      <protection locked="0"/>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0" fillId="0" borderId="0"/>
    <xf numFmtId="0" fontId="6" fillId="0" borderId="0" applyProtection="0"/>
    <xf numFmtId="0" fontId="9" fillId="0" borderId="0"/>
    <xf numFmtId="0" fontId="5" fillId="0" borderId="0"/>
    <xf numFmtId="49" fontId="1" fillId="0" borderId="0">
      <alignment vertical="center"/>
    </xf>
    <xf numFmtId="0" fontId="5" fillId="0" borderId="0"/>
    <xf numFmtId="0" fontId="5" fillId="0" borderId="0"/>
    <xf numFmtId="0" fontId="2" fillId="0" borderId="0"/>
    <xf numFmtId="0" fontId="40"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6" fillId="0" borderId="0"/>
    <xf numFmtId="0" fontId="2" fillId="0" borderId="0"/>
    <xf numFmtId="0" fontId="11" fillId="0" borderId="0"/>
  </cellStyleXfs>
  <cellXfs count="959">
    <xf numFmtId="0" fontId="0" fillId="0" borderId="0" xfId="0"/>
    <xf numFmtId="0" fontId="12" fillId="0" borderId="0" xfId="0" applyFont="1"/>
    <xf numFmtId="0" fontId="12" fillId="0" borderId="0" xfId="39" applyFont="1"/>
    <xf numFmtId="0" fontId="15" fillId="0" borderId="0" xfId="0" applyFont="1" applyAlignment="1">
      <alignment horizontal="right" vertical="top" wrapText="1"/>
    </xf>
    <xf numFmtId="0" fontId="15" fillId="0" borderId="0" xfId="0" applyFont="1"/>
    <xf numFmtId="0" fontId="15" fillId="0" borderId="0" xfId="0" applyFont="1" applyBorder="1" applyAlignment="1">
      <alignment horizontal="center" vertical="top" wrapText="1"/>
    </xf>
    <xf numFmtId="0" fontId="15" fillId="0" borderId="0" xfId="0" applyFont="1" applyAlignment="1">
      <alignment horizontal="center"/>
    </xf>
    <xf numFmtId="0" fontId="15" fillId="0" borderId="0" xfId="0" applyFont="1" applyAlignment="1">
      <alignment horizontal="left"/>
    </xf>
    <xf numFmtId="0" fontId="12" fillId="0" borderId="0" xfId="0" applyFont="1" applyFill="1"/>
    <xf numFmtId="0" fontId="22" fillId="0" borderId="0" xfId="23" applyFont="1"/>
    <xf numFmtId="0" fontId="12" fillId="0" borderId="0" xfId="37" applyFont="1" applyFill="1"/>
    <xf numFmtId="0" fontId="12" fillId="0" borderId="0" xfId="37" applyFont="1" applyFill="1" applyAlignment="1">
      <alignment horizontal="right"/>
    </xf>
    <xf numFmtId="0" fontId="26" fillId="0" borderId="0" xfId="37" applyFont="1" applyFill="1"/>
    <xf numFmtId="0" fontId="13" fillId="0" borderId="0" xfId="37" applyFont="1" applyFill="1" applyAlignment="1">
      <alignment horizontal="right"/>
    </xf>
    <xf numFmtId="0" fontId="14" fillId="0" borderId="0" xfId="37" applyFont="1" applyFill="1" applyAlignment="1">
      <alignment horizontal="center"/>
    </xf>
    <xf numFmtId="0" fontId="26" fillId="0" borderId="0" xfId="39" applyFont="1" applyFill="1"/>
    <xf numFmtId="0" fontId="17" fillId="0" borderId="0" xfId="39" applyFont="1" applyFill="1" applyBorder="1" applyAlignment="1">
      <alignment horizontal="right" vertical="top" wrapText="1"/>
    </xf>
    <xf numFmtId="4" fontId="16" fillId="0" borderId="0" xfId="39" applyNumberFormat="1" applyFont="1" applyFill="1" applyBorder="1" applyAlignment="1">
      <alignment horizontal="center" vertical="top" wrapText="1"/>
    </xf>
    <xf numFmtId="0" fontId="12" fillId="0" borderId="0" xfId="39" applyFont="1" applyFill="1" applyAlignment="1">
      <alignment horizontal="justify"/>
    </xf>
    <xf numFmtId="0" fontId="12" fillId="0" borderId="0" xfId="39" applyFont="1" applyFill="1"/>
    <xf numFmtId="4" fontId="12" fillId="0" borderId="0" xfId="39" applyNumberFormat="1" applyFont="1" applyFill="1"/>
    <xf numFmtId="0" fontId="15" fillId="0" borderId="0" xfId="0" applyFont="1" applyFill="1" applyAlignment="1">
      <alignment horizontal="right" vertical="top" wrapText="1"/>
    </xf>
    <xf numFmtId="0" fontId="15" fillId="0" borderId="0" xfId="0" applyFont="1" applyFill="1"/>
    <xf numFmtId="4" fontId="18" fillId="0" borderId="0" xfId="0" applyNumberFormat="1" applyFont="1" applyFill="1"/>
    <xf numFmtId="0" fontId="15" fillId="0" borderId="0" xfId="0" applyFont="1" applyFill="1" applyBorder="1" applyAlignment="1">
      <alignment horizontal="center" vertical="top" wrapText="1"/>
    </xf>
    <xf numFmtId="0" fontId="15" fillId="0" borderId="0" xfId="0" applyFont="1" applyFill="1" applyAlignment="1">
      <alignment horizontal="center"/>
    </xf>
    <xf numFmtId="0" fontId="19" fillId="0" borderId="0" xfId="0" applyFont="1" applyFill="1" applyAlignment="1">
      <alignment horizontal="center" vertical="top" wrapText="1"/>
    </xf>
    <xf numFmtId="0" fontId="15" fillId="0" borderId="0" xfId="0" applyFont="1" applyFill="1" applyAlignment="1">
      <alignment horizontal="left"/>
    </xf>
    <xf numFmtId="0" fontId="28" fillId="0" borderId="0" xfId="0" applyFont="1" applyFill="1" applyAlignment="1">
      <alignment horizontal="right" vertical="top" wrapText="1"/>
    </xf>
    <xf numFmtId="0" fontId="29" fillId="0" borderId="0" xfId="39" applyFont="1" applyFill="1"/>
    <xf numFmtId="0" fontId="28" fillId="0" borderId="0" xfId="0" applyFont="1" applyFill="1"/>
    <xf numFmtId="0" fontId="28" fillId="0" borderId="0" xfId="0" applyFont="1" applyFill="1" applyBorder="1" applyAlignment="1">
      <alignment horizontal="center" vertical="top" wrapText="1"/>
    </xf>
    <xf numFmtId="0" fontId="28" fillId="0" borderId="0" xfId="0" applyFont="1" applyFill="1" applyAlignment="1">
      <alignment horizontal="center"/>
    </xf>
    <xf numFmtId="0" fontId="15" fillId="0" borderId="0" xfId="0" applyFont="1" applyFill="1" applyAlignment="1">
      <alignment horizontal="left" vertical="top" wrapText="1"/>
    </xf>
    <xf numFmtId="0" fontId="12" fillId="0" borderId="0" xfId="29" applyFont="1"/>
    <xf numFmtId="0" fontId="20" fillId="0" borderId="0" xfId="29" applyFont="1" applyAlignment="1">
      <alignment horizontal="right" vertical="top" wrapText="1"/>
    </xf>
    <xf numFmtId="0" fontId="20" fillId="0" borderId="0" xfId="29" applyFont="1" applyAlignment="1">
      <alignment horizontal="center" vertical="top" wrapText="1"/>
    </xf>
    <xf numFmtId="0" fontId="13" fillId="0" borderId="0" xfId="29" applyFont="1" applyAlignment="1">
      <alignment vertical="top" wrapText="1"/>
    </xf>
    <xf numFmtId="0" fontId="12" fillId="0" borderId="0" xfId="29" applyFont="1" applyAlignment="1">
      <alignment horizontal="center"/>
    </xf>
    <xf numFmtId="0" fontId="15" fillId="0" borderId="0" xfId="29" applyFont="1"/>
    <xf numFmtId="0" fontId="27" fillId="0" borderId="0" xfId="29" applyFont="1" applyAlignment="1">
      <alignment horizontal="left"/>
    </xf>
    <xf numFmtId="0" fontId="23" fillId="0" borderId="0" xfId="29" applyFont="1" applyAlignment="1">
      <alignment horizontal="justify"/>
    </xf>
    <xf numFmtId="0" fontId="15" fillId="0" borderId="0" xfId="29" applyFont="1" applyBorder="1" applyAlignment="1">
      <alignment vertical="top" wrapText="1"/>
    </xf>
    <xf numFmtId="0" fontId="15" fillId="0" borderId="0" xfId="29" applyFont="1" applyAlignment="1">
      <alignment horizontal="left"/>
    </xf>
    <xf numFmtId="0" fontId="26" fillId="0" borderId="0" xfId="37" applyFont="1" applyFill="1" applyAlignment="1">
      <alignment wrapText="1"/>
    </xf>
    <xf numFmtId="0" fontId="30" fillId="0" borderId="0" xfId="22" applyFont="1"/>
    <xf numFmtId="0" fontId="26" fillId="0" borderId="0" xfId="22" applyFont="1"/>
    <xf numFmtId="0" fontId="31" fillId="0" borderId="0" xfId="22" applyFont="1" applyAlignment="1">
      <alignment vertical="top"/>
    </xf>
    <xf numFmtId="0" fontId="26" fillId="3" borderId="0" xfId="22" applyFont="1" applyFill="1"/>
    <xf numFmtId="0" fontId="22" fillId="2" borderId="0" xfId="24" applyFont="1" applyFill="1"/>
    <xf numFmtId="0" fontId="15" fillId="0" borderId="0" xfId="23" applyFont="1"/>
    <xf numFmtId="0" fontId="22" fillId="2" borderId="0" xfId="23" applyFont="1" applyFill="1"/>
    <xf numFmtId="16" fontId="15" fillId="0" borderId="0" xfId="29" applyNumberFormat="1" applyFont="1" applyAlignment="1">
      <alignment vertical="top" wrapText="1"/>
    </xf>
    <xf numFmtId="0" fontId="15" fillId="0" borderId="0" xfId="29" applyFont="1" applyAlignment="1">
      <alignment vertical="top" wrapText="1"/>
    </xf>
    <xf numFmtId="0" fontId="30" fillId="0" borderId="0" xfId="22" applyFont="1" applyAlignment="1">
      <alignment wrapText="1"/>
    </xf>
    <xf numFmtId="0" fontId="31" fillId="0" borderId="0" xfId="22" applyFont="1" applyBorder="1" applyAlignment="1">
      <alignment vertical="top"/>
    </xf>
    <xf numFmtId="0" fontId="32" fillId="0" borderId="0" xfId="22" applyFont="1" applyBorder="1" applyAlignment="1">
      <alignment horizontal="right" vertical="center"/>
    </xf>
    <xf numFmtId="4" fontId="33" fillId="0" borderId="0" xfId="0" applyNumberFormat="1" applyFont="1" applyFill="1" applyBorder="1" applyAlignment="1">
      <alignment horizontal="center" vertical="center"/>
    </xf>
    <xf numFmtId="0" fontId="12" fillId="0" borderId="0" xfId="20" applyFont="1" applyFill="1" applyBorder="1" applyAlignment="1">
      <alignment vertical="center"/>
    </xf>
    <xf numFmtId="0" fontId="16" fillId="0" borderId="0" xfId="22" applyFont="1"/>
    <xf numFmtId="0" fontId="15" fillId="0" borderId="0" xfId="22" applyFont="1"/>
    <xf numFmtId="0" fontId="12" fillId="0" borderId="0" xfId="22" applyFont="1" applyAlignment="1">
      <alignment vertical="top"/>
    </xf>
    <xf numFmtId="0" fontId="12" fillId="0" borderId="0" xfId="22" applyFont="1" applyBorder="1" applyAlignment="1">
      <alignment vertical="top"/>
    </xf>
    <xf numFmtId="0" fontId="13" fillId="0" borderId="0" xfId="22" applyFont="1" applyBorder="1" applyAlignment="1">
      <alignment horizontal="right" vertical="center"/>
    </xf>
    <xf numFmtId="4" fontId="21" fillId="0" borderId="0" xfId="0" applyNumberFormat="1" applyFont="1" applyFill="1" applyBorder="1" applyAlignment="1">
      <alignment horizontal="center" vertical="center"/>
    </xf>
    <xf numFmtId="0" fontId="13" fillId="0" borderId="0" xfId="22" applyFont="1" applyAlignment="1">
      <alignment vertical="center"/>
    </xf>
    <xf numFmtId="0" fontId="13" fillId="0" borderId="0" xfId="22" applyFont="1"/>
    <xf numFmtId="0" fontId="15" fillId="3" borderId="0" xfId="24" applyFont="1" applyFill="1"/>
    <xf numFmtId="0" fontId="15" fillId="3" borderId="0" xfId="22" applyFont="1" applyFill="1"/>
    <xf numFmtId="0" fontId="12" fillId="0" borderId="0" xfId="23" applyFont="1"/>
    <xf numFmtId="0" fontId="12" fillId="2" borderId="0" xfId="23" applyFont="1" applyFill="1"/>
    <xf numFmtId="0" fontId="12" fillId="0" borderId="0" xfId="22" applyFont="1"/>
    <xf numFmtId="0" fontId="12" fillId="3" borderId="0" xfId="22" applyFont="1" applyFill="1"/>
    <xf numFmtId="0" fontId="13" fillId="0" borderId="0" xfId="22" applyFont="1" applyAlignment="1">
      <alignment vertical="top"/>
    </xf>
    <xf numFmtId="0" fontId="13" fillId="0" borderId="0" xfId="22" applyFont="1" applyBorder="1" applyAlignment="1">
      <alignment vertical="top"/>
    </xf>
    <xf numFmtId="4" fontId="14" fillId="0" borderId="0" xfId="0" applyNumberFormat="1" applyFont="1" applyFill="1" applyBorder="1" applyAlignment="1">
      <alignment horizontal="center" vertical="center"/>
    </xf>
    <xf numFmtId="0" fontId="15" fillId="0" borderId="0" xfId="0" applyFont="1" applyAlignment="1">
      <alignment horizontal="left" vertical="top" wrapText="1"/>
    </xf>
    <xf numFmtId="0" fontId="12" fillId="0" borderId="0" xfId="0" applyFont="1" applyAlignment="1">
      <alignment horizontal="center" vertical="center"/>
    </xf>
    <xf numFmtId="0" fontId="12" fillId="0" borderId="0" xfId="20" applyFont="1" applyFill="1" applyBorder="1" applyAlignment="1">
      <alignment horizontal="center" vertical="center"/>
    </xf>
    <xf numFmtId="0" fontId="22" fillId="2" borderId="0" xfId="23" applyFont="1" applyFill="1" applyAlignment="1">
      <alignment horizontal="center" vertical="center"/>
    </xf>
    <xf numFmtId="0" fontId="26" fillId="0" borderId="0" xfId="22" applyFont="1" applyAlignment="1">
      <alignment horizontal="center" vertical="center"/>
    </xf>
    <xf numFmtId="0" fontId="15" fillId="0" borderId="0" xfId="0" applyFont="1" applyBorder="1" applyAlignment="1">
      <alignment vertical="top" wrapText="1"/>
    </xf>
    <xf numFmtId="0" fontId="13" fillId="0" borderId="0" xfId="22" applyFont="1" applyAlignment="1">
      <alignment horizontal="center" vertical="center"/>
    </xf>
    <xf numFmtId="0" fontId="12" fillId="0" borderId="0" xfId="0" applyFont="1" applyAlignment="1">
      <alignment horizontal="left"/>
    </xf>
    <xf numFmtId="0" fontId="15" fillId="0" borderId="0" xfId="23" applyFont="1" applyAlignment="1">
      <alignment horizontal="left"/>
    </xf>
    <xf numFmtId="0" fontId="15" fillId="0" borderId="0" xfId="22" applyFont="1" applyAlignment="1">
      <alignment horizontal="center" vertical="center"/>
    </xf>
    <xf numFmtId="0" fontId="15" fillId="2" borderId="0" xfId="23" applyFont="1" applyFill="1" applyAlignment="1">
      <alignment horizontal="center" vertical="center"/>
    </xf>
    <xf numFmtId="0" fontId="15" fillId="2" borderId="0" xfId="23" applyFont="1" applyFill="1"/>
    <xf numFmtId="0" fontId="15" fillId="0" borderId="0" xfId="22" applyFont="1" applyAlignment="1">
      <alignment wrapText="1"/>
    </xf>
    <xf numFmtId="0" fontId="20" fillId="0" borderId="0" xfId="29" applyFont="1" applyAlignment="1">
      <alignment horizontal="center"/>
    </xf>
    <xf numFmtId="0" fontId="13" fillId="0" borderId="0" xfId="29" applyFont="1" applyAlignment="1">
      <alignment horizontal="left"/>
    </xf>
    <xf numFmtId="0" fontId="13" fillId="0" borderId="0" xfId="22" applyFont="1" applyAlignment="1">
      <alignment wrapText="1"/>
    </xf>
    <xf numFmtId="2" fontId="15" fillId="3" borderId="0" xfId="22" applyNumberFormat="1" applyFont="1" applyFill="1"/>
    <xf numFmtId="2" fontId="12" fillId="0" borderId="2" xfId="0" applyNumberFormat="1" applyFont="1" applyFill="1" applyBorder="1" applyAlignment="1">
      <alignment horizontal="center" vertical="center"/>
    </xf>
    <xf numFmtId="0" fontId="16" fillId="3" borderId="0" xfId="22" applyFont="1" applyFill="1"/>
    <xf numFmtId="0" fontId="12" fillId="0" borderId="0" xfId="29" applyFont="1" applyAlignment="1">
      <alignment wrapText="1"/>
    </xf>
    <xf numFmtId="4" fontId="12" fillId="0" borderId="1"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2" fontId="12" fillId="0" borderId="0" xfId="0" applyNumberFormat="1" applyFont="1"/>
    <xf numFmtId="4" fontId="12" fillId="2" borderId="1" xfId="0" applyNumberFormat="1" applyFont="1" applyFill="1" applyBorder="1" applyAlignment="1">
      <alignment horizontal="center" vertical="center" wrapText="1"/>
    </xf>
    <xf numFmtId="4" fontId="12" fillId="2" borderId="2" xfId="0" applyNumberFormat="1" applyFont="1" applyFill="1" applyBorder="1" applyAlignment="1">
      <alignment horizontal="center" vertical="center" wrapText="1"/>
    </xf>
    <xf numFmtId="0" fontId="16" fillId="0" borderId="0" xfId="22" applyFont="1" applyAlignment="1">
      <alignment horizontal="center" vertical="center"/>
    </xf>
    <xf numFmtId="2" fontId="15" fillId="0" borderId="0" xfId="22" applyNumberFormat="1" applyFont="1"/>
    <xf numFmtId="2" fontId="15" fillId="0" borderId="0" xfId="23" applyNumberFormat="1" applyFont="1"/>
    <xf numFmtId="2" fontId="13" fillId="0" borderId="0" xfId="22" applyNumberFormat="1" applyFont="1" applyAlignment="1">
      <alignment vertical="top"/>
    </xf>
    <xf numFmtId="2" fontId="12" fillId="0" borderId="0" xfId="0" applyNumberFormat="1" applyFont="1" applyAlignment="1">
      <alignment horizontal="left"/>
    </xf>
    <xf numFmtId="2" fontId="15" fillId="0" borderId="0" xfId="23" applyNumberFormat="1" applyFont="1" applyAlignment="1">
      <alignment horizontal="left"/>
    </xf>
    <xf numFmtId="2" fontId="16" fillId="0" borderId="0" xfId="22" applyNumberFormat="1" applyFont="1"/>
    <xf numFmtId="0" fontId="15" fillId="3" borderId="0" xfId="22" applyFont="1" applyFill="1" applyAlignment="1">
      <alignment horizontal="center" vertical="center"/>
    </xf>
    <xf numFmtId="2" fontId="12" fillId="0" borderId="0" xfId="22" applyNumberFormat="1" applyFont="1" applyAlignment="1">
      <alignment vertical="top"/>
    </xf>
    <xf numFmtId="2" fontId="13" fillId="0" borderId="0" xfId="22" applyNumberFormat="1" applyFont="1"/>
    <xf numFmtId="2" fontId="22" fillId="0" borderId="0" xfId="23" applyNumberFormat="1" applyFont="1"/>
    <xf numFmtId="2" fontId="12" fillId="0" borderId="0" xfId="23" applyNumberFormat="1" applyFont="1"/>
    <xf numFmtId="2" fontId="12" fillId="0" borderId="0" xfId="22" applyNumberFormat="1" applyFont="1"/>
    <xf numFmtId="0" fontId="30" fillId="4" borderId="5" xfId="22" applyFont="1" applyFill="1" applyBorder="1" applyAlignment="1">
      <alignment horizontal="center" vertical="center" textRotation="90" wrapText="1"/>
    </xf>
    <xf numFmtId="0" fontId="16" fillId="4" borderId="5" xfId="52" applyFont="1" applyFill="1" applyBorder="1" applyAlignment="1" applyProtection="1">
      <alignment horizontal="center" vertical="center" wrapText="1"/>
      <protection locked="0"/>
    </xf>
    <xf numFmtId="0" fontId="16" fillId="5" borderId="5" xfId="0" applyFont="1" applyFill="1" applyBorder="1" applyAlignment="1">
      <alignment horizontal="center" vertical="center"/>
    </xf>
    <xf numFmtId="0" fontId="24" fillId="5" borderId="5" xfId="0" applyFont="1" applyFill="1" applyBorder="1" applyAlignment="1" applyProtection="1">
      <alignment horizontal="center" vertical="center" wrapText="1"/>
    </xf>
    <xf numFmtId="2" fontId="36" fillId="5" borderId="5" xfId="0" applyNumberFormat="1" applyFont="1" applyFill="1" applyBorder="1" applyAlignment="1">
      <alignment horizontal="center" vertical="center"/>
    </xf>
    <xf numFmtId="2" fontId="26" fillId="5" borderId="5" xfId="0" applyNumberFormat="1" applyFont="1" applyFill="1" applyBorder="1" applyAlignment="1">
      <alignment horizontal="center" vertical="center"/>
    </xf>
    <xf numFmtId="4" fontId="26" fillId="5" borderId="5" xfId="0" applyNumberFormat="1" applyFont="1" applyFill="1" applyBorder="1" applyAlignment="1">
      <alignment horizontal="center" vertical="center"/>
    </xf>
    <xf numFmtId="2"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2" fontId="15" fillId="0" borderId="2" xfId="0" applyNumberFormat="1" applyFont="1" applyBorder="1" applyAlignment="1">
      <alignment horizontal="center" vertical="center"/>
    </xf>
    <xf numFmtId="4" fontId="16" fillId="4" borderId="5" xfId="29" applyNumberFormat="1" applyFont="1" applyFill="1" applyBorder="1" applyAlignment="1">
      <alignment horizontal="center" vertical="top" wrapText="1"/>
    </xf>
    <xf numFmtId="9" fontId="15" fillId="4" borderId="5" xfId="29" applyNumberFormat="1" applyFont="1" applyFill="1" applyBorder="1" applyAlignment="1">
      <alignment horizontal="center" vertical="center" wrapText="1"/>
    </xf>
    <xf numFmtId="4" fontId="15" fillId="4" borderId="5" xfId="29" applyNumberFormat="1" applyFont="1" applyFill="1" applyBorder="1" applyAlignment="1">
      <alignment horizontal="center" vertical="top" wrapText="1"/>
    </xf>
    <xf numFmtId="0" fontId="13" fillId="4" borderId="5" xfId="0" applyFont="1" applyFill="1" applyBorder="1" applyAlignment="1">
      <alignment horizontal="justify" vertical="top" wrapText="1"/>
    </xf>
    <xf numFmtId="0" fontId="14" fillId="4" borderId="5" xfId="0" applyFont="1" applyFill="1" applyBorder="1" applyAlignment="1">
      <alignment horizontal="right" vertical="top" wrapText="1"/>
    </xf>
    <xf numFmtId="4" fontId="16" fillId="4" borderId="5" xfId="0" applyNumberFormat="1" applyFont="1" applyFill="1" applyBorder="1" applyAlignment="1">
      <alignment horizontal="center" vertical="top" wrapText="1"/>
    </xf>
    <xf numFmtId="0" fontId="12" fillId="4" borderId="5" xfId="0" applyFont="1" applyFill="1" applyBorder="1" applyAlignment="1">
      <alignment horizontal="right"/>
    </xf>
    <xf numFmtId="4" fontId="30" fillId="4" borderId="5" xfId="0" applyNumberFormat="1" applyFont="1" applyFill="1" applyBorder="1" applyAlignment="1">
      <alignment horizontal="center" vertical="center"/>
    </xf>
    <xf numFmtId="9" fontId="16" fillId="4" borderId="5" xfId="29" applyNumberFormat="1" applyFont="1" applyFill="1" applyBorder="1" applyAlignment="1">
      <alignment horizontal="center" vertical="center" wrapText="1"/>
    </xf>
    <xf numFmtId="0" fontId="15" fillId="5" borderId="5" xfId="0" applyFont="1" applyFill="1" applyBorder="1" applyAlignment="1">
      <alignment horizontal="center" vertical="center"/>
    </xf>
    <xf numFmtId="0" fontId="16" fillId="5" borderId="5" xfId="36" applyNumberFormat="1" applyFont="1" applyFill="1" applyBorder="1" applyAlignment="1">
      <alignment vertical="center" wrapText="1"/>
    </xf>
    <xf numFmtId="2" fontId="15" fillId="5" borderId="5" xfId="0" applyNumberFormat="1" applyFont="1" applyFill="1" applyBorder="1" applyAlignment="1">
      <alignment horizontal="center" vertical="center"/>
    </xf>
    <xf numFmtId="4" fontId="15" fillId="5" borderId="5" xfId="0" applyNumberFormat="1" applyFont="1" applyFill="1" applyBorder="1" applyAlignment="1">
      <alignment horizontal="center" vertical="center"/>
    </xf>
    <xf numFmtId="2" fontId="15"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2" fontId="24" fillId="5" borderId="5" xfId="0" applyNumberFormat="1" applyFont="1" applyFill="1" applyBorder="1" applyAlignment="1">
      <alignment horizontal="center" vertical="center"/>
    </xf>
    <xf numFmtId="2" fontId="37" fillId="5" borderId="5" xfId="0" applyNumberFormat="1" applyFont="1" applyFill="1" applyBorder="1" applyAlignment="1">
      <alignment horizontal="center" vertical="center"/>
    </xf>
    <xf numFmtId="2" fontId="38" fillId="5" borderId="5" xfId="0" applyNumberFormat="1" applyFont="1" applyFill="1" applyBorder="1" applyAlignment="1">
      <alignment horizontal="center" vertical="center"/>
    </xf>
    <xf numFmtId="2" fontId="15" fillId="0" borderId="0" xfId="0" applyNumberFormat="1" applyFont="1" applyAlignment="1">
      <alignment horizontal="left"/>
    </xf>
    <xf numFmtId="2" fontId="15" fillId="0" borderId="2" xfId="0" applyNumberFormat="1" applyFont="1" applyFill="1" applyBorder="1" applyAlignment="1">
      <alignment horizontal="center" vertical="center" wrapText="1"/>
    </xf>
    <xf numFmtId="4" fontId="16" fillId="4" borderId="5" xfId="0" applyNumberFormat="1" applyFont="1" applyFill="1" applyBorder="1" applyAlignment="1">
      <alignment horizontal="center" vertical="center"/>
    </xf>
    <xf numFmtId="2" fontId="15" fillId="0" borderId="2" xfId="0" applyNumberFormat="1" applyFont="1" applyFill="1" applyBorder="1" applyAlignment="1">
      <alignment horizontal="center" vertical="center"/>
    </xf>
    <xf numFmtId="2" fontId="15" fillId="0" borderId="3" xfId="0" applyNumberFormat="1" applyFont="1" applyFill="1" applyBorder="1" applyAlignment="1">
      <alignment horizontal="center" vertical="center"/>
    </xf>
    <xf numFmtId="2" fontId="38" fillId="5" borderId="5" xfId="22" applyNumberFormat="1" applyFont="1" applyFill="1" applyBorder="1" applyAlignment="1">
      <alignment horizontal="center" vertical="center"/>
    </xf>
    <xf numFmtId="2" fontId="15" fillId="0" borderId="2" xfId="22" applyNumberFormat="1" applyFont="1" applyFill="1" applyBorder="1" applyAlignment="1">
      <alignment horizontal="center" vertical="center"/>
    </xf>
    <xf numFmtId="2" fontId="15" fillId="0" borderId="3" xfId="22" applyNumberFormat="1" applyFont="1" applyFill="1" applyBorder="1" applyAlignment="1">
      <alignment horizontal="center" vertical="center"/>
    </xf>
    <xf numFmtId="2" fontId="15" fillId="0" borderId="4" xfId="0" applyNumberFormat="1" applyFont="1" applyFill="1" applyBorder="1" applyAlignment="1">
      <alignment horizontal="center" vertical="center"/>
    </xf>
    <xf numFmtId="2" fontId="15" fillId="0" borderId="4" xfId="22" applyNumberFormat="1" applyFont="1" applyFill="1" applyBorder="1" applyAlignment="1">
      <alignment horizontal="center" vertical="center"/>
    </xf>
    <xf numFmtId="2" fontId="15" fillId="5" borderId="5" xfId="22" applyNumberFormat="1" applyFont="1" applyFill="1" applyBorder="1" applyAlignment="1">
      <alignment horizontal="center" vertical="center"/>
    </xf>
    <xf numFmtId="2" fontId="15" fillId="0" borderId="6" xfId="0" applyNumberFormat="1" applyFont="1" applyFill="1" applyBorder="1" applyAlignment="1">
      <alignment horizontal="center" vertical="center"/>
    </xf>
    <xf numFmtId="2" fontId="15" fillId="0" borderId="2" xfId="50" applyNumberFormat="1" applyFont="1" applyFill="1" applyBorder="1" applyAlignment="1">
      <alignment horizontal="center" vertical="center" shrinkToFit="1"/>
    </xf>
    <xf numFmtId="2" fontId="15" fillId="0" borderId="2" xfId="49" applyNumberFormat="1" applyFont="1" applyFill="1" applyBorder="1" applyAlignment="1">
      <alignment horizontal="center" vertical="center"/>
    </xf>
    <xf numFmtId="2" fontId="15" fillId="0" borderId="2" xfId="48" applyNumberFormat="1" applyFont="1" applyFill="1" applyBorder="1" applyAlignment="1">
      <alignment horizontal="center" vertical="center"/>
    </xf>
    <xf numFmtId="2" fontId="15" fillId="0" borderId="2" xfId="48" applyNumberFormat="1" applyFont="1" applyFill="1" applyBorder="1" applyAlignment="1">
      <alignment horizontal="center" vertical="center" wrapText="1"/>
    </xf>
    <xf numFmtId="2" fontId="15" fillId="0" borderId="4" xfId="49" applyNumberFormat="1" applyFont="1" applyFill="1" applyBorder="1" applyAlignment="1">
      <alignment horizontal="center" vertical="center"/>
    </xf>
    <xf numFmtId="2" fontId="15" fillId="0" borderId="4" xfId="0" applyNumberFormat="1" applyFont="1" applyFill="1" applyBorder="1" applyAlignment="1">
      <alignment horizontal="center" vertical="center" wrapText="1"/>
    </xf>
    <xf numFmtId="2" fontId="15" fillId="0" borderId="4" xfId="48" applyNumberFormat="1" applyFont="1" applyFill="1" applyBorder="1" applyAlignment="1">
      <alignment horizontal="center" vertical="center"/>
    </xf>
    <xf numFmtId="2" fontId="15" fillId="0" borderId="3" xfId="0" applyNumberFormat="1" applyFont="1" applyFill="1" applyBorder="1" applyAlignment="1">
      <alignment horizontal="center" vertical="center" wrapText="1"/>
    </xf>
    <xf numFmtId="2" fontId="15" fillId="0" borderId="3" xfId="49" applyNumberFormat="1" applyFont="1" applyFill="1" applyBorder="1" applyAlignment="1">
      <alignment horizontal="center" vertical="center"/>
    </xf>
    <xf numFmtId="2" fontId="15" fillId="0" borderId="3" xfId="48" applyNumberFormat="1" applyFont="1" applyFill="1" applyBorder="1" applyAlignment="1">
      <alignment horizontal="center" vertical="center"/>
    </xf>
    <xf numFmtId="2" fontId="24" fillId="5" borderId="5" xfId="28" applyNumberFormat="1" applyFont="1" applyFill="1" applyBorder="1" applyAlignment="1">
      <alignment horizontal="center" vertical="center" wrapText="1"/>
    </xf>
    <xf numFmtId="0" fontId="16" fillId="6" borderId="5" xfId="52" applyFont="1" applyFill="1" applyBorder="1" applyAlignment="1" applyProtection="1">
      <alignment horizontal="center" vertical="center" wrapText="1"/>
      <protection locked="0"/>
    </xf>
    <xf numFmtId="0" fontId="12" fillId="0" borderId="0" xfId="29" applyFont="1" applyAlignment="1">
      <alignment horizontal="right"/>
    </xf>
    <xf numFmtId="0" fontId="12" fillId="0" borderId="0" xfId="29" applyFont="1" applyAlignment="1">
      <alignment horizontal="right" wrapText="1"/>
    </xf>
    <xf numFmtId="2" fontId="15" fillId="0" borderId="7" xfId="0" applyNumberFormat="1" applyFont="1" applyBorder="1" applyAlignment="1">
      <alignment horizontal="center" vertical="center"/>
    </xf>
    <xf numFmtId="2" fontId="16" fillId="4" borderId="5" xfId="52" applyNumberFormat="1" applyFont="1" applyFill="1" applyBorder="1" applyAlignment="1" applyProtection="1">
      <alignment horizontal="center" vertical="center" wrapText="1"/>
      <protection locked="0"/>
    </xf>
    <xf numFmtId="0" fontId="15" fillId="0" borderId="2" xfId="48" applyFont="1" applyFill="1" applyBorder="1" applyAlignment="1">
      <alignment horizontal="center" vertical="center"/>
    </xf>
    <xf numFmtId="0" fontId="15" fillId="0" borderId="3" xfId="48" applyFont="1" applyFill="1" applyBorder="1" applyAlignment="1">
      <alignment horizontal="center" vertical="center"/>
    </xf>
    <xf numFmtId="0" fontId="15" fillId="0" borderId="4" xfId="48" applyFont="1" applyFill="1" applyBorder="1" applyAlignment="1">
      <alignment horizontal="center" vertical="center"/>
    </xf>
    <xf numFmtId="0" fontId="15" fillId="0" borderId="6" xfId="48" applyFont="1" applyFill="1" applyBorder="1" applyAlignment="1">
      <alignment horizontal="center" vertical="center"/>
    </xf>
    <xf numFmtId="2" fontId="15" fillId="0" borderId="6" xfId="0" applyNumberFormat="1" applyFont="1" applyFill="1" applyBorder="1" applyAlignment="1">
      <alignment horizontal="center" vertical="center" wrapText="1"/>
    </xf>
    <xf numFmtId="2" fontId="15" fillId="0" borderId="6" xfId="48" applyNumberFormat="1" applyFont="1" applyFill="1" applyBorder="1" applyAlignment="1">
      <alignment horizontal="center" vertical="center"/>
    </xf>
    <xf numFmtId="0" fontId="16" fillId="4" borderId="5" xfId="29" applyFont="1" applyFill="1" applyBorder="1" applyAlignment="1">
      <alignment horizontal="center" vertical="center" wrapText="1"/>
    </xf>
    <xf numFmtId="0" fontId="29" fillId="0" borderId="0" xfId="0" applyFont="1"/>
    <xf numFmtId="0" fontId="28" fillId="3" borderId="0" xfId="22" applyFont="1" applyFill="1" applyAlignment="1">
      <alignment horizontal="left" vertical="center"/>
    </xf>
    <xf numFmtId="0" fontId="28" fillId="3" borderId="0" xfId="22" applyFont="1" applyFill="1"/>
    <xf numFmtId="0" fontId="28" fillId="3" borderId="0" xfId="24" applyFont="1" applyFill="1"/>
    <xf numFmtId="0" fontId="12" fillId="3" borderId="0" xfId="29" applyFont="1" applyFill="1" applyAlignment="1">
      <alignment horizontal="right" wrapText="1"/>
    </xf>
    <xf numFmtId="0" fontId="12" fillId="3" borderId="0" xfId="29" applyFont="1" applyFill="1" applyAlignment="1">
      <alignment wrapText="1"/>
    </xf>
    <xf numFmtId="0" fontId="30" fillId="0" borderId="0" xfId="22" applyFont="1" applyAlignment="1">
      <alignment horizontal="left" vertical="center"/>
    </xf>
    <xf numFmtId="0" fontId="26" fillId="0" borderId="0" xfId="22" applyFont="1" applyAlignment="1">
      <alignment horizontal="left" vertical="center"/>
    </xf>
    <xf numFmtId="0" fontId="12" fillId="0" borderId="0" xfId="0" applyFont="1" applyAlignment="1">
      <alignment horizontal="left" vertical="center"/>
    </xf>
    <xf numFmtId="0" fontId="28" fillId="0" borderId="0" xfId="22" applyFont="1"/>
    <xf numFmtId="0" fontId="29" fillId="0" borderId="0" xfId="0" applyFont="1" applyAlignment="1">
      <alignment horizontal="left"/>
    </xf>
    <xf numFmtId="0" fontId="39" fillId="0" borderId="0" xfId="22" applyFont="1" applyAlignment="1">
      <alignment horizontal="left"/>
    </xf>
    <xf numFmtId="0" fontId="28" fillId="0" borderId="0" xfId="22" applyFont="1" applyAlignment="1">
      <alignment horizontal="left"/>
    </xf>
    <xf numFmtId="0" fontId="28" fillId="0" borderId="0" xfId="23" applyFont="1" applyAlignment="1">
      <alignment horizontal="left"/>
    </xf>
    <xf numFmtId="0" fontId="39" fillId="0" borderId="0" xfId="22" applyFont="1"/>
    <xf numFmtId="0" fontId="28" fillId="0" borderId="0" xfId="23" applyFont="1"/>
    <xf numFmtId="0" fontId="28" fillId="2" borderId="0" xfId="24" applyFont="1" applyFill="1" applyAlignment="1">
      <alignment horizontal="left"/>
    </xf>
    <xf numFmtId="0" fontId="39" fillId="0" borderId="0" xfId="22" applyFont="1" applyAlignment="1">
      <alignment horizontal="left" wrapText="1"/>
    </xf>
    <xf numFmtId="4" fontId="12" fillId="2" borderId="1" xfId="0" applyNumberFormat="1" applyFont="1" applyFill="1" applyBorder="1" applyAlignment="1">
      <alignment horizontal="center"/>
    </xf>
    <xf numFmtId="4" fontId="12" fillId="0" borderId="1" xfId="0" applyNumberFormat="1" applyFont="1" applyBorder="1" applyAlignment="1">
      <alignment horizontal="center"/>
    </xf>
    <xf numFmtId="4" fontId="12" fillId="2" borderId="2" xfId="0" applyNumberFormat="1" applyFont="1" applyFill="1" applyBorder="1" applyAlignment="1">
      <alignment horizontal="center"/>
    </xf>
    <xf numFmtId="4" fontId="12" fillId="0" borderId="2" xfId="0" applyNumberFormat="1" applyFont="1" applyBorder="1" applyAlignment="1">
      <alignment horizontal="center"/>
    </xf>
    <xf numFmtId="4" fontId="34" fillId="0" borderId="2" xfId="0" applyNumberFormat="1" applyFont="1" applyBorder="1" applyAlignment="1">
      <alignment horizontal="center"/>
    </xf>
    <xf numFmtId="4" fontId="12" fillId="3" borderId="2" xfId="0" applyNumberFormat="1" applyFont="1" applyFill="1" applyBorder="1" applyAlignment="1">
      <alignment horizontal="center" vertical="center" wrapText="1"/>
    </xf>
    <xf numFmtId="4" fontId="30" fillId="4" borderId="8" xfId="0" applyNumberFormat="1" applyFont="1" applyFill="1" applyBorder="1" applyAlignment="1">
      <alignment horizontal="center" vertical="center"/>
    </xf>
    <xf numFmtId="4" fontId="15" fillId="4" borderId="8" xfId="39" applyNumberFormat="1" applyFont="1" applyFill="1" applyBorder="1" applyAlignment="1">
      <alignment horizontal="center" vertical="center" wrapText="1"/>
    </xf>
    <xf numFmtId="0" fontId="26" fillId="0" borderId="18" xfId="39" applyFont="1" applyFill="1" applyBorder="1"/>
    <xf numFmtId="4" fontId="15" fillId="0" borderId="2" xfId="0" applyNumberFormat="1" applyFont="1" applyFill="1" applyBorder="1" applyAlignment="1">
      <alignment horizontal="center" vertical="center"/>
    </xf>
    <xf numFmtId="4" fontId="15" fillId="0" borderId="3"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xf>
    <xf numFmtId="4" fontId="15" fillId="0" borderId="6" xfId="0" applyNumberFormat="1" applyFont="1" applyFill="1" applyBorder="1" applyAlignment="1">
      <alignment horizontal="center" vertical="center"/>
    </xf>
    <xf numFmtId="0" fontId="16" fillId="4" borderId="7" xfId="52" applyFont="1" applyFill="1" applyBorder="1" applyAlignment="1" applyProtection="1">
      <alignment horizontal="center" vertical="center" wrapText="1"/>
      <protection locked="0"/>
    </xf>
    <xf numFmtId="1" fontId="16" fillId="4" borderId="7" xfId="52"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horizontal="center" vertical="center" wrapText="1"/>
    </xf>
    <xf numFmtId="2" fontId="36" fillId="0" borderId="2" xfId="0" applyNumberFormat="1" applyFont="1" applyFill="1" applyBorder="1" applyAlignment="1">
      <alignment horizontal="center" vertical="center"/>
    </xf>
    <xf numFmtId="2" fontId="26" fillId="0" borderId="2" xfId="0" applyNumberFormat="1" applyFont="1" applyFill="1" applyBorder="1" applyAlignment="1">
      <alignment horizontal="center" vertical="center"/>
    </xf>
    <xf numFmtId="4" fontId="26" fillId="0" borderId="2" xfId="0" applyNumberFormat="1" applyFont="1" applyFill="1" applyBorder="1" applyAlignment="1">
      <alignment horizontal="center" vertical="center"/>
    </xf>
    <xf numFmtId="49" fontId="42" fillId="5" borderId="5" xfId="0" applyNumberFormat="1" applyFont="1" applyFill="1" applyBorder="1" applyAlignment="1">
      <alignment horizontal="center" vertical="center"/>
    </xf>
    <xf numFmtId="49" fontId="43" fillId="5" borderId="5" xfId="0" applyNumberFormat="1" applyFont="1" applyFill="1" applyBorder="1" applyAlignment="1">
      <alignment horizontal="center" vertical="center"/>
    </xf>
    <xf numFmtId="49" fontId="43" fillId="5" borderId="5" xfId="0" applyNumberFormat="1" applyFont="1" applyFill="1" applyBorder="1" applyAlignment="1">
      <alignment horizontal="center" vertical="justify"/>
    </xf>
    <xf numFmtId="49" fontId="43" fillId="5" borderId="5" xfId="0" applyNumberFormat="1" applyFont="1" applyFill="1" applyBorder="1" applyAlignment="1">
      <alignment horizontal="right" vertical="justify"/>
    </xf>
    <xf numFmtId="2" fontId="42" fillId="5" borderId="5" xfId="0" applyNumberFormat="1" applyFont="1" applyFill="1" applyBorder="1" applyAlignment="1">
      <alignment horizontal="center" vertical="center"/>
    </xf>
    <xf numFmtId="2" fontId="15" fillId="0" borderId="3" xfId="46" applyNumberFormat="1" applyFont="1" applyFill="1" applyBorder="1" applyAlignment="1">
      <alignment horizontal="center" vertical="center"/>
    </xf>
    <xf numFmtId="0" fontId="15" fillId="5" borderId="5" xfId="48" applyFont="1" applyFill="1" applyBorder="1" applyAlignment="1">
      <alignment horizontal="center" vertical="center"/>
    </xf>
    <xf numFmtId="2" fontId="15" fillId="5" borderId="5" xfId="0" applyNumberFormat="1" applyFont="1" applyFill="1" applyBorder="1" applyAlignment="1">
      <alignment horizontal="center" vertical="center" wrapText="1"/>
    </xf>
    <xf numFmtId="2" fontId="15" fillId="5" borderId="5" xfId="48" applyNumberFormat="1" applyFont="1" applyFill="1" applyBorder="1" applyAlignment="1">
      <alignment horizontal="center" vertical="center"/>
    </xf>
    <xf numFmtId="0" fontId="42" fillId="3" borderId="8" xfId="0" applyNumberFormat="1" applyFont="1" applyFill="1" applyBorder="1" applyAlignment="1" applyProtection="1">
      <alignment horizontal="center" vertical="center" wrapText="1"/>
    </xf>
    <xf numFmtId="49" fontId="42" fillId="3" borderId="8" xfId="0" applyNumberFormat="1" applyFont="1" applyFill="1" applyBorder="1" applyAlignment="1">
      <alignment horizontal="center" vertical="center"/>
    </xf>
    <xf numFmtId="0" fontId="42" fillId="3" borderId="2" xfId="0" applyNumberFormat="1" applyFont="1" applyFill="1" applyBorder="1" applyAlignment="1" applyProtection="1">
      <alignment horizontal="center" vertical="center" wrapText="1"/>
    </xf>
    <xf numFmtId="49" fontId="42" fillId="3" borderId="2" xfId="0" applyNumberFormat="1" applyFont="1" applyFill="1" applyBorder="1" applyAlignment="1">
      <alignment horizontal="center" vertical="center"/>
    </xf>
    <xf numFmtId="0" fontId="42" fillId="3" borderId="4" xfId="0" applyNumberFormat="1" applyFont="1" applyFill="1" applyBorder="1" applyAlignment="1" applyProtection="1">
      <alignment horizontal="center" vertical="center" wrapText="1"/>
    </xf>
    <xf numFmtId="0" fontId="42" fillId="3" borderId="3" xfId="0" applyNumberFormat="1" applyFont="1" applyFill="1" applyBorder="1" applyAlignment="1" applyProtection="1">
      <alignment horizontal="center" vertical="center" wrapText="1"/>
    </xf>
    <xf numFmtId="2" fontId="36" fillId="0" borderId="4" xfId="0" applyNumberFormat="1" applyFont="1" applyFill="1" applyBorder="1" applyAlignment="1">
      <alignment horizontal="center" vertical="center"/>
    </xf>
    <xf numFmtId="2" fontId="26" fillId="0" borderId="4" xfId="0" applyNumberFormat="1" applyFont="1" applyFill="1" applyBorder="1" applyAlignment="1">
      <alignment horizontal="center" vertical="center"/>
    </xf>
    <xf numFmtId="4" fontId="26" fillId="0" borderId="4" xfId="0" applyNumberFormat="1" applyFont="1" applyFill="1" applyBorder="1" applyAlignment="1">
      <alignment horizontal="center" vertical="center"/>
    </xf>
    <xf numFmtId="2" fontId="36" fillId="0" borderId="3" xfId="0" applyNumberFormat="1" applyFont="1" applyFill="1" applyBorder="1" applyAlignment="1">
      <alignment horizontal="center" vertical="center"/>
    </xf>
    <xf numFmtId="2" fontId="26" fillId="0" borderId="3" xfId="0" applyNumberFormat="1" applyFont="1" applyFill="1" applyBorder="1" applyAlignment="1">
      <alignment horizontal="center" vertical="center"/>
    </xf>
    <xf numFmtId="4" fontId="26" fillId="0" borderId="3" xfId="0" applyNumberFormat="1" applyFont="1" applyFill="1" applyBorder="1" applyAlignment="1">
      <alignment horizontal="center" vertical="center"/>
    </xf>
    <xf numFmtId="2" fontId="36" fillId="0" borderId="6" xfId="0" applyNumberFormat="1" applyFont="1" applyFill="1" applyBorder="1" applyAlignment="1">
      <alignment horizontal="center" vertical="center"/>
    </xf>
    <xf numFmtId="2" fontId="26" fillId="0" borderId="6" xfId="0" applyNumberFormat="1" applyFont="1" applyFill="1" applyBorder="1" applyAlignment="1">
      <alignment horizontal="center" vertical="center"/>
    </xf>
    <xf numFmtId="4" fontId="26" fillId="0" borderId="6" xfId="0" applyNumberFormat="1" applyFont="1" applyFill="1" applyBorder="1" applyAlignment="1">
      <alignment horizontal="center" vertical="center"/>
    </xf>
    <xf numFmtId="49" fontId="42" fillId="3" borderId="3" xfId="0" applyNumberFormat="1" applyFont="1" applyFill="1" applyBorder="1" applyAlignment="1">
      <alignment horizontal="center" vertical="center"/>
    </xf>
    <xf numFmtId="49" fontId="42" fillId="3" borderId="8" xfId="60" applyNumberFormat="1" applyFont="1" applyFill="1" applyBorder="1" applyAlignment="1">
      <alignment horizontal="left" vertical="center" wrapText="1"/>
    </xf>
    <xf numFmtId="2" fontId="42" fillId="3" borderId="8" xfId="0" applyNumberFormat="1" applyFont="1" applyFill="1" applyBorder="1" applyAlignment="1">
      <alignment horizontal="center" vertical="center"/>
    </xf>
    <xf numFmtId="49" fontId="42" fillId="3" borderId="2" xfId="60" applyNumberFormat="1" applyFont="1" applyFill="1" applyBorder="1" applyAlignment="1">
      <alignment horizontal="left" vertical="center" wrapText="1"/>
    </xf>
    <xf numFmtId="0" fontId="42" fillId="3" borderId="2" xfId="58" applyFont="1" applyFill="1" applyBorder="1" applyAlignment="1">
      <alignment horizontal="center" vertical="center" wrapText="1"/>
    </xf>
    <xf numFmtId="2" fontId="42" fillId="3" borderId="2" xfId="58" applyNumberFormat="1" applyFont="1" applyFill="1" applyBorder="1" applyAlignment="1">
      <alignment horizontal="center" vertical="center"/>
    </xf>
    <xf numFmtId="2" fontId="42" fillId="3" borderId="2" xfId="0" applyNumberFormat="1" applyFont="1" applyFill="1" applyBorder="1" applyAlignment="1">
      <alignment horizontal="center" vertical="center"/>
    </xf>
    <xf numFmtId="0" fontId="42" fillId="3" borderId="6" xfId="0" applyNumberFormat="1" applyFont="1" applyFill="1" applyBorder="1" applyAlignment="1" applyProtection="1">
      <alignment horizontal="center" vertical="center" wrapText="1"/>
    </xf>
    <xf numFmtId="49" fontId="42" fillId="3" borderId="6" xfId="60" applyNumberFormat="1" applyFont="1" applyFill="1" applyBorder="1" applyAlignment="1">
      <alignment horizontal="left" vertical="center" wrapText="1"/>
    </xf>
    <xf numFmtId="49" fontId="42" fillId="3" borderId="6" xfId="0" applyNumberFormat="1" applyFont="1" applyFill="1" applyBorder="1" applyAlignment="1">
      <alignment horizontal="center" vertical="center"/>
    </xf>
    <xf numFmtId="2" fontId="42" fillId="3" borderId="6" xfId="0" applyNumberFormat="1" applyFont="1" applyFill="1" applyBorder="1" applyAlignment="1">
      <alignment horizontal="center" vertical="center"/>
    </xf>
    <xf numFmtId="49" fontId="42" fillId="3" borderId="4" xfId="60" applyNumberFormat="1" applyFont="1" applyFill="1" applyBorder="1" applyAlignment="1">
      <alignment horizontal="left" vertical="center" wrapText="1"/>
    </xf>
    <xf numFmtId="0" fontId="42" fillId="3" borderId="4" xfId="58" applyFont="1" applyFill="1" applyBorder="1" applyAlignment="1">
      <alignment horizontal="center" vertical="center" wrapText="1"/>
    </xf>
    <xf numFmtId="2" fontId="42" fillId="3" borderId="4" xfId="58" applyNumberFormat="1" applyFont="1" applyFill="1" applyBorder="1" applyAlignment="1">
      <alignment horizontal="center" vertical="center"/>
    </xf>
    <xf numFmtId="49" fontId="42" fillId="3" borderId="3" xfId="60" applyNumberFormat="1" applyFont="1" applyFill="1" applyBorder="1" applyAlignment="1">
      <alignment horizontal="left" vertical="center" wrapText="1"/>
    </xf>
    <xf numFmtId="2" fontId="42" fillId="3" borderId="3" xfId="0" applyNumberFormat="1" applyFont="1" applyFill="1" applyBorder="1" applyAlignment="1">
      <alignment horizontal="center" vertical="center"/>
    </xf>
    <xf numFmtId="49" fontId="42" fillId="3" borderId="4" xfId="0" applyNumberFormat="1" applyFont="1" applyFill="1" applyBorder="1" applyAlignment="1">
      <alignment horizontal="center" vertical="center"/>
    </xf>
    <xf numFmtId="2" fontId="42" fillId="3" borderId="4" xfId="0" applyNumberFormat="1" applyFont="1" applyFill="1" applyBorder="1" applyAlignment="1">
      <alignment horizontal="center" vertical="center"/>
    </xf>
    <xf numFmtId="2" fontId="15" fillId="0" borderId="6" xfId="46" applyNumberFormat="1" applyFont="1" applyFill="1" applyBorder="1" applyAlignment="1">
      <alignment horizontal="center" vertical="center"/>
    </xf>
    <xf numFmtId="2" fontId="15" fillId="0" borderId="2" xfId="46" applyNumberFormat="1" applyFont="1" applyFill="1" applyBorder="1" applyAlignment="1">
      <alignment horizontal="center" vertical="center"/>
    </xf>
    <xf numFmtId="2" fontId="15" fillId="5" borderId="5" xfId="46" applyNumberFormat="1" applyFont="1" applyFill="1" applyBorder="1" applyAlignment="1">
      <alignment horizontal="center" vertical="center"/>
    </xf>
    <xf numFmtId="2" fontId="15" fillId="0" borderId="4" xfId="46" applyNumberFormat="1" applyFont="1" applyFill="1" applyBorder="1" applyAlignment="1">
      <alignment horizontal="center" vertical="center"/>
    </xf>
    <xf numFmtId="2" fontId="37" fillId="0" borderId="2" xfId="0" applyNumberFormat="1" applyFont="1" applyFill="1" applyBorder="1" applyAlignment="1">
      <alignment horizontal="center" vertical="center"/>
    </xf>
    <xf numFmtId="2" fontId="38" fillId="0" borderId="2" xfId="22" applyNumberFormat="1" applyFont="1" applyFill="1" applyBorder="1" applyAlignment="1">
      <alignment horizontal="center" vertical="center"/>
    </xf>
    <xf numFmtId="2" fontId="38" fillId="0" borderId="2" xfId="0" applyNumberFormat="1" applyFont="1" applyFill="1" applyBorder="1" applyAlignment="1">
      <alignment horizontal="center" vertical="center"/>
    </xf>
    <xf numFmtId="2" fontId="37" fillId="0" borderId="6" xfId="0" applyNumberFormat="1" applyFont="1" applyFill="1" applyBorder="1" applyAlignment="1">
      <alignment horizontal="center" vertical="center"/>
    </xf>
    <xf numFmtId="2" fontId="38" fillId="0" borderId="6" xfId="22" applyNumberFormat="1" applyFont="1" applyFill="1" applyBorder="1" applyAlignment="1">
      <alignment horizontal="center" vertical="center"/>
    </xf>
    <xf numFmtId="2" fontId="38" fillId="0" borderId="6" xfId="0" applyNumberFormat="1" applyFont="1" applyFill="1" applyBorder="1" applyAlignment="1">
      <alignment horizontal="center" vertical="center"/>
    </xf>
    <xf numFmtId="2" fontId="37" fillId="0" borderId="3" xfId="0" applyNumberFormat="1" applyFont="1" applyFill="1" applyBorder="1" applyAlignment="1">
      <alignment horizontal="center" vertical="center"/>
    </xf>
    <xf numFmtId="2" fontId="38" fillId="0" borderId="3" xfId="22" applyNumberFormat="1" applyFont="1" applyFill="1" applyBorder="1" applyAlignment="1">
      <alignment horizontal="center" vertical="center"/>
    </xf>
    <xf numFmtId="2" fontId="38" fillId="0" borderId="3" xfId="0" applyNumberFormat="1" applyFont="1" applyFill="1" applyBorder="1" applyAlignment="1">
      <alignment horizontal="center" vertical="center"/>
    </xf>
    <xf numFmtId="2" fontId="37" fillId="0" borderId="4" xfId="0" applyNumberFormat="1" applyFont="1" applyFill="1" applyBorder="1" applyAlignment="1">
      <alignment horizontal="center" vertical="center"/>
    </xf>
    <xf numFmtId="2" fontId="38" fillId="0" borderId="4" xfId="22" applyNumberFormat="1" applyFont="1" applyFill="1" applyBorder="1" applyAlignment="1">
      <alignment horizontal="center" vertical="center"/>
    </xf>
    <xf numFmtId="2" fontId="38" fillId="0" borderId="4" xfId="0" applyNumberFormat="1" applyFont="1" applyFill="1" applyBorder="1" applyAlignment="1">
      <alignment horizontal="center" vertical="center"/>
    </xf>
    <xf numFmtId="2" fontId="12" fillId="0" borderId="2" xfId="0" applyNumberFormat="1" applyFont="1" applyFill="1" applyBorder="1" applyAlignment="1">
      <alignment horizontal="center" vertical="center" wrapText="1"/>
    </xf>
    <xf numFmtId="2" fontId="12" fillId="0" borderId="2" xfId="48" applyNumberFormat="1" applyFont="1" applyFill="1" applyBorder="1" applyAlignment="1">
      <alignment horizontal="center" vertical="center"/>
    </xf>
    <xf numFmtId="0" fontId="21" fillId="4" borderId="7" xfId="52" applyFont="1" applyFill="1" applyBorder="1" applyAlignment="1" applyProtection="1">
      <alignment horizontal="center" vertical="center" wrapText="1"/>
      <protection locked="0"/>
    </xf>
    <xf numFmtId="2" fontId="24" fillId="0" borderId="2" xfId="0" applyNumberFormat="1" applyFont="1" applyFill="1" applyBorder="1" applyAlignment="1">
      <alignment horizontal="center" vertical="center"/>
    </xf>
    <xf numFmtId="2" fontId="24" fillId="0" borderId="2" xfId="49" applyNumberFormat="1" applyFont="1" applyFill="1" applyBorder="1" applyAlignment="1">
      <alignment horizontal="center" vertical="center"/>
    </xf>
    <xf numFmtId="2" fontId="24" fillId="0" borderId="2" xfId="0" applyNumberFormat="1" applyFont="1" applyFill="1" applyBorder="1" applyAlignment="1">
      <alignment horizontal="center" vertical="center" wrapText="1"/>
    </xf>
    <xf numFmtId="2" fontId="24" fillId="0" borderId="2" xfId="48" applyNumberFormat="1" applyFont="1" applyFill="1" applyBorder="1" applyAlignment="1">
      <alignment horizontal="center" vertical="center"/>
    </xf>
    <xf numFmtId="2" fontId="24" fillId="0" borderId="2" xfId="50" applyNumberFormat="1" applyFont="1" applyFill="1" applyBorder="1" applyAlignment="1">
      <alignment horizontal="center" vertical="center" shrinkToFit="1"/>
    </xf>
    <xf numFmtId="2" fontId="24" fillId="0" borderId="3" xfId="28" applyNumberFormat="1" applyFont="1" applyFill="1" applyBorder="1" applyAlignment="1">
      <alignment horizontal="center" vertical="center" wrapText="1"/>
    </xf>
    <xf numFmtId="2" fontId="24" fillId="0" borderId="3" xfId="0" applyNumberFormat="1" applyFont="1" applyFill="1" applyBorder="1" applyAlignment="1">
      <alignment horizontal="center" vertical="center"/>
    </xf>
    <xf numFmtId="2" fontId="15" fillId="5" borderId="5" xfId="49" applyNumberFormat="1" applyFont="1" applyFill="1" applyBorder="1" applyAlignment="1">
      <alignment horizontal="center" vertical="center"/>
    </xf>
    <xf numFmtId="2" fontId="15" fillId="0" borderId="6" xfId="22" applyNumberFormat="1" applyFont="1" applyFill="1" applyBorder="1" applyAlignment="1">
      <alignment horizontal="center" vertical="center"/>
    </xf>
    <xf numFmtId="2" fontId="26" fillId="0" borderId="3" xfId="22" applyNumberFormat="1" applyFont="1" applyFill="1" applyBorder="1" applyAlignment="1">
      <alignment horizontal="center" vertical="center"/>
    </xf>
    <xf numFmtId="2" fontId="26" fillId="0" borderId="2" xfId="22" applyNumberFormat="1" applyFont="1" applyFill="1" applyBorder="1" applyAlignment="1">
      <alignment horizontal="center" vertical="center"/>
    </xf>
    <xf numFmtId="2" fontId="26" fillId="5" borderId="5" xfId="22" applyNumberFormat="1" applyFont="1" applyFill="1" applyBorder="1" applyAlignment="1">
      <alignment horizontal="center" vertical="center"/>
    </xf>
    <xf numFmtId="0" fontId="14" fillId="3" borderId="0" xfId="0" applyFont="1" applyFill="1" applyBorder="1" applyAlignment="1">
      <alignment vertical="center" wrapText="1"/>
    </xf>
    <xf numFmtId="2" fontId="15" fillId="5" borderId="8" xfId="0" applyNumberFormat="1" applyFont="1" applyFill="1" applyBorder="1" applyAlignment="1">
      <alignment horizontal="center" vertical="center"/>
    </xf>
    <xf numFmtId="2" fontId="15" fillId="5" borderId="8" xfId="22" applyNumberFormat="1" applyFont="1" applyFill="1" applyBorder="1" applyAlignment="1">
      <alignment horizontal="center" vertical="center"/>
    </xf>
    <xf numFmtId="4" fontId="16" fillId="0" borderId="0" xfId="0" applyNumberFormat="1" applyFont="1" applyFill="1" applyBorder="1" applyAlignment="1">
      <alignment horizontal="center" vertical="center"/>
    </xf>
    <xf numFmtId="4" fontId="30" fillId="4" borderId="7" xfId="0" applyNumberFormat="1" applyFont="1" applyFill="1" applyBorder="1" applyAlignment="1">
      <alignment horizontal="center" vertical="center"/>
    </xf>
    <xf numFmtId="2" fontId="36" fillId="0" borderId="0" xfId="0" applyNumberFormat="1" applyFont="1" applyFill="1" applyBorder="1" applyAlignment="1">
      <alignment horizontal="center" vertical="center"/>
    </xf>
    <xf numFmtId="2" fontId="26" fillId="0" borderId="0" xfId="22" applyNumberFormat="1" applyFont="1" applyFill="1" applyBorder="1" applyAlignment="1">
      <alignment horizontal="center" vertical="center"/>
    </xf>
    <xf numFmtId="2" fontId="26" fillId="0" borderId="0" xfId="0" applyNumberFormat="1" applyFont="1" applyFill="1" applyBorder="1" applyAlignment="1">
      <alignment horizontal="center" vertical="center"/>
    </xf>
    <xf numFmtId="0" fontId="12" fillId="0" borderId="0" xfId="37" applyFont="1" applyFill="1" applyBorder="1"/>
    <xf numFmtId="0" fontId="13" fillId="0" borderId="0" xfId="37" applyFont="1" applyFill="1" applyBorder="1" applyAlignment="1">
      <alignment horizontal="right"/>
    </xf>
    <xf numFmtId="0" fontId="27" fillId="0" borderId="0" xfId="37" applyFont="1" applyFill="1" applyBorder="1" applyAlignment="1">
      <alignment horizontal="right"/>
    </xf>
    <xf numFmtId="4" fontId="30" fillId="0" borderId="0" xfId="0" applyNumberFormat="1" applyFont="1" applyFill="1" applyBorder="1" applyAlignment="1">
      <alignment horizontal="center" vertical="center"/>
    </xf>
    <xf numFmtId="2" fontId="15" fillId="0" borderId="0" xfId="0" applyNumberFormat="1" applyFont="1" applyFill="1" applyBorder="1" applyAlignment="1">
      <alignment horizontal="center" vertical="center"/>
    </xf>
    <xf numFmtId="2" fontId="15" fillId="0" borderId="0" xfId="22" applyNumberFormat="1" applyFont="1" applyFill="1" applyBorder="1" applyAlignment="1">
      <alignment horizontal="center" vertical="center"/>
    </xf>
    <xf numFmtId="0" fontId="14" fillId="0" borderId="0" xfId="37" applyFont="1" applyFill="1" applyBorder="1" applyAlignment="1">
      <alignment horizontal="left" vertical="center" wrapText="1"/>
    </xf>
    <xf numFmtId="0" fontId="15" fillId="0" borderId="0" xfId="0" applyFont="1" applyAlignment="1">
      <alignment horizontal="left" vertical="top" wrapText="1"/>
    </xf>
    <xf numFmtId="0" fontId="16" fillId="4" borderId="5" xfId="29" applyFont="1" applyFill="1" applyBorder="1" applyAlignment="1">
      <alignment horizontal="center" vertical="center" wrapText="1"/>
    </xf>
    <xf numFmtId="0" fontId="15" fillId="0" borderId="0" xfId="0" applyFont="1" applyAlignment="1">
      <alignment horizontal="center"/>
    </xf>
    <xf numFmtId="0" fontId="30" fillId="4" borderId="5" xfId="22" applyFont="1" applyFill="1" applyBorder="1" applyAlignment="1">
      <alignment horizontal="center" vertical="center" textRotation="90" wrapText="1"/>
    </xf>
    <xf numFmtId="0" fontId="15" fillId="0" borderId="0" xfId="0" applyFont="1" applyBorder="1" applyAlignment="1">
      <alignment horizontal="center" vertical="top" wrapText="1"/>
    </xf>
    <xf numFmtId="0" fontId="35" fillId="0" borderId="0" xfId="22" applyFont="1" applyAlignment="1">
      <alignment horizontal="center" vertical="center"/>
    </xf>
    <xf numFmtId="0" fontId="16" fillId="4" borderId="5" xfId="22" applyFont="1" applyFill="1" applyBorder="1" applyAlignment="1">
      <alignment horizontal="center" vertical="center" textRotation="90" wrapText="1"/>
    </xf>
    <xf numFmtId="0" fontId="12" fillId="0" borderId="0" xfId="0" applyFont="1" applyAlignment="1">
      <alignment horizontal="center"/>
    </xf>
    <xf numFmtId="0" fontId="12" fillId="0" borderId="0" xfId="0" applyFont="1" applyBorder="1" applyAlignment="1">
      <alignment horizontal="center" vertical="top" wrapText="1"/>
    </xf>
    <xf numFmtId="0" fontId="22" fillId="0" borderId="0" xfId="23" applyFont="1" applyAlignment="1">
      <alignment horizontal="left" vertical="center"/>
    </xf>
    <xf numFmtId="0" fontId="22" fillId="0" borderId="0" xfId="23" applyFont="1" applyAlignment="1">
      <alignment horizontal="center" vertical="center"/>
    </xf>
    <xf numFmtId="0" fontId="15" fillId="0" borderId="0" xfId="0" applyFont="1" applyBorder="1" applyAlignment="1">
      <alignment horizontal="left" vertical="top" wrapText="1"/>
    </xf>
    <xf numFmtId="0" fontId="14" fillId="0" borderId="0" xfId="22" applyFont="1" applyAlignment="1">
      <alignment horizontal="center" vertical="center"/>
    </xf>
    <xf numFmtId="0" fontId="15" fillId="0" borderId="0" xfId="23" applyFont="1" applyAlignment="1">
      <alignment horizontal="center" vertical="center"/>
    </xf>
    <xf numFmtId="0" fontId="21" fillId="4" borderId="5" xfId="22" applyFont="1" applyFill="1" applyBorder="1" applyAlignment="1">
      <alignment horizontal="center" vertical="center" textRotation="90" wrapText="1"/>
    </xf>
    <xf numFmtId="0" fontId="16" fillId="6" borderId="5" xfId="22" applyFont="1" applyFill="1" applyBorder="1" applyAlignment="1">
      <alignment horizontal="center" vertical="center" textRotation="90" wrapText="1"/>
    </xf>
    <xf numFmtId="4" fontId="12" fillId="2" borderId="27" xfId="0" applyNumberFormat="1" applyFont="1" applyFill="1" applyBorder="1" applyAlignment="1">
      <alignment horizontal="center"/>
    </xf>
    <xf numFmtId="2" fontId="31" fillId="0" borderId="0" xfId="22" applyNumberFormat="1" applyFont="1" applyAlignment="1">
      <alignment vertical="top"/>
    </xf>
    <xf numFmtId="2" fontId="26" fillId="0" borderId="0" xfId="22" applyNumberFormat="1" applyFont="1"/>
    <xf numFmtId="2" fontId="24" fillId="5" borderId="5" xfId="0" applyNumberFormat="1" applyFont="1" applyFill="1" applyBorder="1" applyAlignment="1" applyProtection="1">
      <alignment horizontal="center" vertical="center" wrapText="1"/>
    </xf>
    <xf numFmtId="2" fontId="35" fillId="0" borderId="0" xfId="22" applyNumberFormat="1" applyFont="1" applyAlignment="1">
      <alignment horizontal="center" vertical="center"/>
    </xf>
    <xf numFmtId="2" fontId="16" fillId="5" borderId="5" xfId="36" applyNumberFormat="1" applyFont="1" applyFill="1" applyBorder="1" applyAlignment="1">
      <alignment vertical="center" wrapText="1"/>
    </xf>
    <xf numFmtId="0" fontId="12" fillId="4" borderId="5" xfId="28" applyFont="1" applyFill="1" applyBorder="1" applyAlignment="1">
      <alignment horizontal="center" vertical="center"/>
    </xf>
    <xf numFmtId="0" fontId="21" fillId="4" borderId="5" xfId="28" applyFont="1" applyFill="1" applyBorder="1" applyAlignment="1">
      <alignment horizontal="right"/>
    </xf>
    <xf numFmtId="0" fontId="12" fillId="4" borderId="5" xfId="28" applyFont="1" applyFill="1" applyBorder="1" applyAlignment="1">
      <alignment horizontal="right"/>
    </xf>
    <xf numFmtId="0" fontId="12" fillId="0" borderId="1" xfId="28" applyFont="1" applyBorder="1" applyAlignment="1">
      <alignment horizontal="center" vertical="center"/>
    </xf>
    <xf numFmtId="0" fontId="12" fillId="0" borderId="1" xfId="28" applyFont="1" applyBorder="1" applyAlignment="1">
      <alignment vertical="center" wrapText="1"/>
    </xf>
    <xf numFmtId="4" fontId="15" fillId="0" borderId="1" xfId="39" applyNumberFormat="1" applyFont="1" applyFill="1" applyBorder="1" applyAlignment="1">
      <alignment horizontal="center" vertical="center" wrapText="1"/>
    </xf>
    <xf numFmtId="0" fontId="12" fillId="0" borderId="2" xfId="28" applyFont="1" applyBorder="1" applyAlignment="1">
      <alignment horizontal="center" vertical="center"/>
    </xf>
    <xf numFmtId="0" fontId="12" fillId="0" borderId="2" xfId="28" applyFont="1" applyBorder="1" applyAlignment="1">
      <alignment vertical="center" wrapText="1"/>
    </xf>
    <xf numFmtId="4" fontId="15" fillId="0" borderId="2" xfId="39" applyNumberFormat="1" applyFont="1" applyFill="1" applyBorder="1" applyAlignment="1">
      <alignment horizontal="center" vertical="center" wrapText="1"/>
    </xf>
    <xf numFmtId="0" fontId="12" fillId="0" borderId="27" xfId="28" applyFont="1" applyBorder="1" applyAlignment="1">
      <alignment horizontal="center" vertical="center"/>
    </xf>
    <xf numFmtId="0" fontId="12" fillId="0" borderId="27" xfId="28" applyFont="1" applyBorder="1" applyAlignment="1">
      <alignment vertical="center" wrapText="1"/>
    </xf>
    <xf numFmtId="4" fontId="15" fillId="0" borderId="27" xfId="39"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7" xfId="0"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0" fontId="44" fillId="5" borderId="5" xfId="28" applyFont="1" applyFill="1" applyBorder="1" applyAlignment="1">
      <alignment horizontal="center" vertical="center" wrapText="1"/>
    </xf>
    <xf numFmtId="0" fontId="45" fillId="3" borderId="7" xfId="0" applyNumberFormat="1" applyFont="1" applyFill="1" applyBorder="1" applyAlignment="1" applyProtection="1">
      <alignment horizontal="center" vertical="center" wrapText="1"/>
    </xf>
    <xf numFmtId="0" fontId="45" fillId="3" borderId="7" xfId="58" applyFont="1" applyFill="1" applyBorder="1" applyAlignment="1">
      <alignment vertical="center" wrapText="1"/>
    </xf>
    <xf numFmtId="0" fontId="45" fillId="3" borderId="7" xfId="58" applyFont="1" applyFill="1" applyBorder="1" applyAlignment="1">
      <alignment horizontal="center" vertical="center" wrapText="1"/>
    </xf>
    <xf numFmtId="2" fontId="45" fillId="3" borderId="7" xfId="58" applyNumberFormat="1" applyFont="1" applyFill="1" applyBorder="1" applyAlignment="1">
      <alignment horizontal="center" vertical="center"/>
    </xf>
    <xf numFmtId="0" fontId="45" fillId="3" borderId="2" xfId="0" applyNumberFormat="1" applyFont="1" applyFill="1" applyBorder="1" applyAlignment="1" applyProtection="1">
      <alignment horizontal="center" vertical="center" wrapText="1"/>
    </xf>
    <xf numFmtId="0" fontId="45" fillId="3" borderId="2" xfId="58" applyFont="1" applyFill="1" applyBorder="1" applyAlignment="1">
      <alignment vertical="center" wrapText="1"/>
    </xf>
    <xf numFmtId="0" fontId="45" fillId="3" borderId="2" xfId="58" applyFont="1" applyFill="1" applyBorder="1" applyAlignment="1">
      <alignment horizontal="center" vertical="center" wrapText="1"/>
    </xf>
    <xf numFmtId="2" fontId="45" fillId="3" borderId="2" xfId="58" applyNumberFormat="1" applyFont="1" applyFill="1" applyBorder="1" applyAlignment="1">
      <alignment horizontal="center" vertical="center"/>
    </xf>
    <xf numFmtId="0" fontId="45" fillId="3" borderId="2" xfId="58" applyFont="1" applyFill="1" applyBorder="1" applyAlignment="1">
      <alignment horizontal="center" vertical="center"/>
    </xf>
    <xf numFmtId="0" fontId="45" fillId="3" borderId="2" xfId="58" applyFont="1" applyFill="1" applyBorder="1" applyAlignment="1">
      <alignment horizontal="left" vertical="center" wrapText="1"/>
    </xf>
    <xf numFmtId="2" fontId="45"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45" fillId="3" borderId="2" xfId="28" applyFont="1" applyFill="1" applyBorder="1" applyAlignment="1">
      <alignment horizontal="left" vertical="center" wrapText="1"/>
    </xf>
    <xf numFmtId="2" fontId="45" fillId="3" borderId="2" xfId="28" applyNumberFormat="1" applyFont="1" applyFill="1" applyBorder="1" applyAlignment="1">
      <alignment horizontal="center" vertical="center" wrapText="1"/>
    </xf>
    <xf numFmtId="0" fontId="44" fillId="5" borderId="5" xfId="54" applyFont="1" applyFill="1" applyBorder="1" applyAlignment="1">
      <alignment horizontal="center" vertical="center" wrapText="1"/>
    </xf>
    <xf numFmtId="0" fontId="12" fillId="3" borderId="7" xfId="0" applyFont="1" applyFill="1" applyBorder="1" applyAlignment="1">
      <alignment horizontal="left" vertical="center" wrapText="1"/>
    </xf>
    <xf numFmtId="0" fontId="12" fillId="3" borderId="7" xfId="0" applyFont="1" applyFill="1" applyBorder="1" applyAlignment="1">
      <alignment horizontal="center" vertical="center"/>
    </xf>
    <xf numFmtId="2" fontId="12" fillId="3" borderId="7" xfId="0" applyNumberFormat="1" applyFont="1" applyFill="1" applyBorder="1" applyAlignment="1">
      <alignment horizontal="center" vertical="center"/>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xf>
    <xf numFmtId="2" fontId="12" fillId="3" borderId="2" xfId="0" applyNumberFormat="1" applyFont="1" applyFill="1" applyBorder="1" applyAlignment="1">
      <alignment horizontal="center" vertical="center"/>
    </xf>
    <xf numFmtId="0" fontId="12" fillId="3" borderId="2" xfId="0" applyFont="1" applyFill="1" applyBorder="1" applyAlignment="1">
      <alignment horizontal="left" vertical="center"/>
    </xf>
    <xf numFmtId="0" fontId="45" fillId="3" borderId="8" xfId="0" applyNumberFormat="1" applyFont="1" applyFill="1" applyBorder="1" applyAlignment="1" applyProtection="1">
      <alignment horizontal="center" vertical="center" wrapText="1"/>
    </xf>
    <xf numFmtId="0" fontId="12" fillId="3" borderId="8" xfId="0" applyFont="1" applyFill="1" applyBorder="1" applyAlignment="1">
      <alignment horizontal="left" vertical="center"/>
    </xf>
    <xf numFmtId="0" fontId="12" fillId="3" borderId="8" xfId="0" applyFont="1" applyFill="1" applyBorder="1" applyAlignment="1">
      <alignment horizontal="center"/>
    </xf>
    <xf numFmtId="2" fontId="12" fillId="3" borderId="8" xfId="0" applyNumberFormat="1" applyFont="1" applyFill="1" applyBorder="1" applyAlignment="1">
      <alignment horizontal="center" vertical="center"/>
    </xf>
    <xf numFmtId="0" fontId="45" fillId="5" borderId="5" xfId="0" applyNumberFormat="1" applyFont="1" applyFill="1" applyBorder="1" applyAlignment="1" applyProtection="1">
      <alignment horizontal="center" vertical="center" wrapText="1"/>
    </xf>
    <xf numFmtId="0" fontId="44" fillId="5" borderId="5" xfId="0" applyFont="1" applyFill="1" applyBorder="1" applyAlignment="1">
      <alignment horizontal="center" vertical="center" wrapText="1"/>
    </xf>
    <xf numFmtId="2" fontId="44" fillId="5" borderId="5" xfId="0" applyNumberFormat="1" applyFont="1" applyFill="1" applyBorder="1" applyAlignment="1">
      <alignment horizontal="right" vertical="center"/>
    </xf>
    <xf numFmtId="0" fontId="45" fillId="3" borderId="6" xfId="0" applyNumberFormat="1" applyFont="1" applyFill="1" applyBorder="1" applyAlignment="1" applyProtection="1">
      <alignment horizontal="center" vertical="center" wrapText="1"/>
    </xf>
    <xf numFmtId="0" fontId="45" fillId="3" borderId="6" xfId="0" applyFont="1" applyFill="1" applyBorder="1" applyAlignment="1">
      <alignment horizontal="left" vertical="center" wrapText="1"/>
    </xf>
    <xf numFmtId="0" fontId="45" fillId="3" borderId="6" xfId="0" applyFont="1" applyFill="1" applyBorder="1" applyAlignment="1">
      <alignment horizontal="center" vertical="center" wrapText="1"/>
    </xf>
    <xf numFmtId="2" fontId="45" fillId="3" borderId="26" xfId="0" applyNumberFormat="1" applyFont="1" applyFill="1" applyBorder="1" applyAlignment="1">
      <alignment horizontal="center" vertical="center"/>
    </xf>
    <xf numFmtId="0" fontId="45" fillId="3" borderId="2" xfId="0" applyFont="1" applyFill="1" applyBorder="1" applyAlignment="1">
      <alignment horizontal="left" vertical="center" wrapText="1"/>
    </xf>
    <xf numFmtId="0" fontId="45" fillId="3" borderId="2" xfId="0" applyFont="1" applyFill="1" applyBorder="1" applyAlignment="1">
      <alignment horizontal="center" vertical="center" wrapText="1"/>
    </xf>
    <xf numFmtId="2" fontId="45" fillId="3" borderId="2" xfId="0" applyNumberFormat="1" applyFont="1" applyFill="1" applyBorder="1" applyAlignment="1">
      <alignment horizontal="center" vertical="center"/>
    </xf>
    <xf numFmtId="0" fontId="45" fillId="3" borderId="4" xfId="0" applyNumberFormat="1" applyFont="1" applyFill="1" applyBorder="1" applyAlignment="1" applyProtection="1">
      <alignment horizontal="center" vertical="center" wrapText="1"/>
    </xf>
    <xf numFmtId="0" fontId="45" fillId="3" borderId="4" xfId="0" applyFont="1" applyFill="1" applyBorder="1" applyAlignment="1">
      <alignment horizontal="left" vertical="center" wrapText="1"/>
    </xf>
    <xf numFmtId="0" fontId="45" fillId="3" borderId="4" xfId="0" applyFont="1" applyFill="1" applyBorder="1" applyAlignment="1">
      <alignment horizontal="center" vertical="center" wrapText="1"/>
    </xf>
    <xf numFmtId="2" fontId="45" fillId="3" borderId="4" xfId="0" applyNumberFormat="1" applyFont="1" applyFill="1" applyBorder="1" applyAlignment="1">
      <alignment horizontal="center" vertical="center"/>
    </xf>
    <xf numFmtId="2" fontId="44" fillId="5" borderId="5" xfId="0" applyNumberFormat="1" applyFont="1" applyFill="1" applyBorder="1" applyAlignment="1">
      <alignment horizontal="center" vertical="center"/>
    </xf>
    <xf numFmtId="0" fontId="45" fillId="3" borderId="3" xfId="0" applyNumberFormat="1" applyFont="1" applyFill="1" applyBorder="1" applyAlignment="1" applyProtection="1">
      <alignment horizontal="center" vertical="center" wrapText="1"/>
    </xf>
    <xf numFmtId="0" fontId="45" fillId="3" borderId="3" xfId="0" applyFont="1" applyFill="1" applyBorder="1" applyAlignment="1">
      <alignment horizontal="left" vertical="center" wrapText="1"/>
    </xf>
    <xf numFmtId="0" fontId="45" fillId="3" borderId="3" xfId="0" applyFont="1" applyFill="1" applyBorder="1" applyAlignment="1">
      <alignment horizontal="center" vertical="center" wrapText="1"/>
    </xf>
    <xf numFmtId="2" fontId="45" fillId="3" borderId="3" xfId="0" applyNumberFormat="1" applyFont="1" applyFill="1" applyBorder="1" applyAlignment="1">
      <alignment horizontal="center" vertical="center"/>
    </xf>
    <xf numFmtId="0" fontId="44" fillId="5" borderId="5" xfId="0" applyFont="1" applyFill="1" applyBorder="1" applyAlignment="1">
      <alignment horizontal="center" vertical="top" wrapText="1"/>
    </xf>
    <xf numFmtId="0" fontId="44" fillId="5" borderId="5" xfId="0" applyFont="1" applyFill="1" applyBorder="1" applyAlignment="1">
      <alignment vertical="top" wrapText="1"/>
    </xf>
    <xf numFmtId="2" fontId="44" fillId="5" borderId="5" xfId="0" applyNumberFormat="1" applyFont="1" applyFill="1" applyBorder="1" applyAlignment="1">
      <alignment horizontal="center" vertical="top"/>
    </xf>
    <xf numFmtId="0" fontId="21" fillId="5" borderId="5" xfId="0" applyFont="1" applyFill="1" applyBorder="1" applyAlignment="1">
      <alignment horizontal="center" vertical="center" wrapText="1"/>
    </xf>
    <xf numFmtId="2" fontId="21" fillId="5" borderId="5" xfId="0" applyNumberFormat="1" applyFont="1" applyFill="1" applyBorder="1" applyAlignment="1">
      <alignment horizontal="right" vertical="center"/>
    </xf>
    <xf numFmtId="0" fontId="12" fillId="3" borderId="7"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2" fontId="12" fillId="3" borderId="3" xfId="0" applyNumberFormat="1" applyFont="1" applyFill="1" applyBorder="1" applyAlignment="1">
      <alignment horizontal="center" vertical="center"/>
    </xf>
    <xf numFmtId="0" fontId="12" fillId="3" borderId="2" xfId="0" applyFont="1" applyFill="1" applyBorder="1" applyAlignment="1">
      <alignment horizontal="right" vertical="center" wrapText="1"/>
    </xf>
    <xf numFmtId="0" fontId="21" fillId="5" borderId="5" xfId="0" applyFont="1" applyFill="1" applyBorder="1" applyAlignment="1">
      <alignment horizontal="center" vertical="top" wrapText="1"/>
    </xf>
    <xf numFmtId="0" fontId="21" fillId="5" borderId="5" xfId="0" applyFont="1" applyFill="1" applyBorder="1" applyAlignment="1">
      <alignment vertical="top" wrapText="1"/>
    </xf>
    <xf numFmtId="2" fontId="21" fillId="5" borderId="5" xfId="0" applyNumberFormat="1" applyFont="1" applyFill="1" applyBorder="1" applyAlignment="1">
      <alignment horizontal="center" vertical="top"/>
    </xf>
    <xf numFmtId="0" fontId="47" fillId="5" borderId="5" xfId="0" applyFont="1" applyFill="1" applyBorder="1" applyAlignment="1">
      <alignment horizontal="right" vertical="center" wrapText="1"/>
    </xf>
    <xf numFmtId="0" fontId="12" fillId="5" borderId="5" xfId="0" applyFont="1" applyFill="1" applyBorder="1" applyAlignment="1">
      <alignment horizontal="center" vertical="center" wrapText="1"/>
    </xf>
    <xf numFmtId="2" fontId="12" fillId="5" borderId="5" xfId="0" applyNumberFormat="1" applyFont="1" applyFill="1" applyBorder="1" applyAlignment="1">
      <alignment horizontal="center" vertical="center"/>
    </xf>
    <xf numFmtId="0" fontId="12" fillId="3" borderId="2" xfId="0" applyNumberFormat="1" applyFont="1" applyFill="1" applyBorder="1" applyAlignment="1" applyProtection="1">
      <alignment horizontal="center" vertical="center" wrapText="1"/>
    </xf>
    <xf numFmtId="0" fontId="12" fillId="3" borderId="4" xfId="0" applyNumberFormat="1" applyFont="1" applyFill="1" applyBorder="1" applyAlignment="1" applyProtection="1">
      <alignment horizontal="center" vertical="center" wrapText="1"/>
    </xf>
    <xf numFmtId="0" fontId="12" fillId="3" borderId="4" xfId="0" applyFont="1" applyFill="1" applyBorder="1" applyAlignment="1">
      <alignment horizontal="left" vertical="center" wrapText="1"/>
    </xf>
    <xf numFmtId="0" fontId="12" fillId="3" borderId="4" xfId="0" applyFont="1" applyFill="1" applyBorder="1" applyAlignment="1">
      <alignment horizontal="center" vertical="center" wrapText="1"/>
    </xf>
    <xf numFmtId="2" fontId="12" fillId="3" borderId="4" xfId="0" applyNumberFormat="1" applyFont="1" applyFill="1" applyBorder="1" applyAlignment="1">
      <alignment horizontal="center" vertical="center"/>
    </xf>
    <xf numFmtId="0" fontId="12" fillId="5" borderId="5" xfId="0" applyNumberFormat="1" applyFont="1" applyFill="1" applyBorder="1" applyAlignment="1" applyProtection="1">
      <alignment horizontal="center" vertical="center" wrapText="1"/>
    </xf>
    <xf numFmtId="0" fontId="12" fillId="3" borderId="3" xfId="0" applyNumberFormat="1" applyFont="1" applyFill="1" applyBorder="1" applyAlignment="1" applyProtection="1">
      <alignment horizontal="center" vertical="center" wrapText="1"/>
    </xf>
    <xf numFmtId="0" fontId="48" fillId="5" borderId="5" xfId="0" applyFont="1" applyFill="1" applyBorder="1" applyAlignment="1">
      <alignment horizontal="right" vertical="top" wrapText="1"/>
    </xf>
    <xf numFmtId="0" fontId="49" fillId="5" borderId="5" xfId="0" applyFont="1" applyFill="1" applyBorder="1" applyAlignment="1">
      <alignment horizontal="right" vertical="top" wrapText="1"/>
    </xf>
    <xf numFmtId="0" fontId="12" fillId="3" borderId="8" xfId="0" applyNumberFormat="1" applyFont="1" applyFill="1" applyBorder="1" applyAlignment="1" applyProtection="1">
      <alignment horizontal="center" vertical="center" wrapText="1"/>
    </xf>
    <xf numFmtId="0" fontId="12" fillId="3" borderId="8" xfId="0" applyFont="1" applyFill="1" applyBorder="1" applyAlignment="1">
      <alignment horizontal="right" vertical="center" wrapText="1"/>
    </xf>
    <xf numFmtId="0" fontId="12" fillId="3" borderId="8" xfId="0" applyFont="1" applyFill="1" applyBorder="1" applyAlignment="1">
      <alignment horizontal="center" vertical="center" wrapText="1"/>
    </xf>
    <xf numFmtId="2" fontId="44" fillId="5" borderId="5" xfId="0" applyNumberFormat="1" applyFont="1" applyFill="1" applyBorder="1" applyAlignment="1">
      <alignment horizontal="center" vertical="center" wrapText="1"/>
    </xf>
    <xf numFmtId="4" fontId="45" fillId="5" borderId="5" xfId="0" applyNumberFormat="1" applyFont="1" applyFill="1" applyBorder="1" applyAlignment="1">
      <alignment horizontal="center" vertical="center" wrapText="1"/>
    </xf>
    <xf numFmtId="2" fontId="51" fillId="5" borderId="5" xfId="0" applyNumberFormat="1" applyFont="1" applyFill="1" applyBorder="1" applyAlignment="1">
      <alignment horizontal="right" vertical="center" wrapText="1"/>
    </xf>
    <xf numFmtId="0" fontId="45" fillId="3" borderId="7" xfId="0" applyFont="1" applyFill="1" applyBorder="1" applyAlignment="1">
      <alignment horizontal="left" vertical="top" wrapText="1"/>
    </xf>
    <xf numFmtId="4" fontId="45" fillId="3" borderId="7" xfId="0" applyNumberFormat="1" applyFont="1" applyFill="1" applyBorder="1" applyAlignment="1">
      <alignment horizontal="center" vertical="center" wrapText="1"/>
    </xf>
    <xf numFmtId="4" fontId="45" fillId="3" borderId="6" xfId="0" applyNumberFormat="1" applyFont="1" applyFill="1" applyBorder="1" applyAlignment="1">
      <alignment horizontal="center" vertical="center" wrapText="1"/>
    </xf>
    <xf numFmtId="0" fontId="45" fillId="3" borderId="2" xfId="0" applyFont="1" applyFill="1" applyBorder="1" applyAlignment="1">
      <alignment horizontal="left" vertical="top" wrapText="1"/>
    </xf>
    <xf numFmtId="4" fontId="45" fillId="3" borderId="2"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4" fontId="45" fillId="3" borderId="3" xfId="0" applyNumberFormat="1" applyFont="1" applyFill="1" applyBorder="1" applyAlignment="1">
      <alignment horizontal="center" vertical="center" wrapText="1"/>
    </xf>
    <xf numFmtId="0" fontId="45" fillId="3" borderId="4" xfId="0" applyFont="1" applyFill="1" applyBorder="1" applyAlignment="1">
      <alignment horizontal="left" vertical="top" wrapText="1"/>
    </xf>
    <xf numFmtId="0" fontId="45" fillId="3" borderId="3" xfId="0" applyFont="1" applyFill="1" applyBorder="1" applyAlignment="1">
      <alignment horizontal="left" vertical="top" wrapText="1"/>
    </xf>
    <xf numFmtId="0" fontId="51" fillId="5" borderId="5" xfId="0" applyFont="1" applyFill="1" applyBorder="1" applyAlignment="1">
      <alignment horizontal="right" vertical="center" wrapText="1"/>
    </xf>
    <xf numFmtId="0" fontId="51" fillId="5" borderId="5" xfId="0" applyFont="1" applyFill="1" applyBorder="1" applyAlignment="1">
      <alignment horizontal="center" vertical="center" wrapText="1"/>
    </xf>
    <xf numFmtId="49" fontId="45" fillId="5" borderId="5" xfId="0" applyNumberFormat="1" applyFont="1" applyFill="1" applyBorder="1" applyAlignment="1">
      <alignment horizontal="center" vertical="center"/>
    </xf>
    <xf numFmtId="49" fontId="45" fillId="3" borderId="3" xfId="0" applyNumberFormat="1" applyFont="1" applyFill="1" applyBorder="1" applyAlignment="1">
      <alignment horizontal="center" vertical="center"/>
    </xf>
    <xf numFmtId="2" fontId="45" fillId="3" borderId="3" xfId="0" applyNumberFormat="1" applyFont="1" applyFill="1" applyBorder="1" applyAlignment="1">
      <alignment horizontal="center" vertical="center" wrapText="1"/>
    </xf>
    <xf numFmtId="49" fontId="45" fillId="3" borderId="2"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wrapText="1"/>
    </xf>
    <xf numFmtId="0" fontId="45" fillId="3" borderId="8" xfId="0" applyFont="1" applyFill="1" applyBorder="1" applyAlignment="1">
      <alignment horizontal="left" vertical="center" wrapText="1"/>
    </xf>
    <xf numFmtId="49" fontId="45" fillId="3" borderId="8" xfId="0" applyNumberFormat="1" applyFont="1" applyFill="1" applyBorder="1" applyAlignment="1">
      <alignment horizontal="center" vertical="center"/>
    </xf>
    <xf numFmtId="2" fontId="45" fillId="3" borderId="8" xfId="0" applyNumberFormat="1" applyFont="1" applyFill="1" applyBorder="1" applyAlignment="1">
      <alignment horizontal="center" vertical="center" wrapText="1"/>
    </xf>
    <xf numFmtId="2" fontId="45" fillId="5" borderId="5" xfId="0" applyNumberFormat="1" applyFont="1" applyFill="1" applyBorder="1" applyAlignment="1">
      <alignment horizontal="center" vertical="center" wrapText="1"/>
    </xf>
    <xf numFmtId="2" fontId="45" fillId="3" borderId="6" xfId="0" applyNumberFormat="1" applyFont="1" applyFill="1" applyBorder="1" applyAlignment="1">
      <alignment horizontal="center" vertical="center" wrapText="1"/>
    </xf>
    <xf numFmtId="2" fontId="45" fillId="3" borderId="4" xfId="0" applyNumberFormat="1" applyFont="1" applyFill="1" applyBorder="1" applyAlignment="1">
      <alignment horizontal="center" vertical="center" wrapText="1"/>
    </xf>
    <xf numFmtId="2" fontId="51" fillId="5" borderId="5" xfId="0" applyNumberFormat="1" applyFont="1" applyFill="1" applyBorder="1" applyAlignment="1">
      <alignment horizontal="center" vertical="center" wrapText="1"/>
    </xf>
    <xf numFmtId="2" fontId="15" fillId="0" borderId="27" xfId="0" applyNumberFormat="1" applyFont="1" applyFill="1" applyBorder="1" applyAlignment="1">
      <alignment horizontal="center" vertical="center"/>
    </xf>
    <xf numFmtId="4" fontId="15" fillId="0" borderId="27" xfId="0" applyNumberFormat="1" applyFont="1" applyFill="1" applyBorder="1" applyAlignment="1">
      <alignment horizontal="center" vertical="center"/>
    </xf>
    <xf numFmtId="0" fontId="15" fillId="0" borderId="0" xfId="0" applyNumberFormat="1" applyFont="1" applyAlignment="1">
      <alignment horizontal="justify" vertical="top"/>
    </xf>
    <xf numFmtId="0" fontId="45" fillId="5" borderId="5" xfId="54" applyFont="1" applyFill="1" applyBorder="1" applyAlignment="1">
      <alignment horizontal="center" vertical="center"/>
    </xf>
    <xf numFmtId="0" fontId="44" fillId="5" borderId="5" xfId="0" applyFont="1" applyFill="1" applyBorder="1" applyAlignment="1">
      <alignment horizontal="right" vertical="center" wrapText="1"/>
    </xf>
    <xf numFmtId="4" fontId="45" fillId="5" borderId="5" xfId="0" applyNumberFormat="1" applyFont="1" applyFill="1" applyBorder="1" applyAlignment="1">
      <alignment horizontal="center" vertical="center"/>
    </xf>
    <xf numFmtId="0" fontId="45" fillId="3" borderId="5" xfId="0" applyNumberFormat="1" applyFont="1" applyFill="1" applyBorder="1" applyAlignment="1" applyProtection="1">
      <alignment horizontal="center" vertical="center" wrapText="1"/>
    </xf>
    <xf numFmtId="0" fontId="45" fillId="3" borderId="5" xfId="0" applyFont="1" applyFill="1" applyBorder="1" applyAlignment="1">
      <alignment horizontal="left" vertical="center" wrapText="1"/>
    </xf>
    <xf numFmtId="4" fontId="45" fillId="3" borderId="5" xfId="0" applyNumberFormat="1" applyFont="1" applyFill="1" applyBorder="1" applyAlignment="1">
      <alignment horizontal="center" vertical="center"/>
    </xf>
    <xf numFmtId="0" fontId="45" fillId="3" borderId="7" xfId="0" applyFont="1" applyFill="1" applyBorder="1" applyAlignment="1">
      <alignment horizontal="left" vertical="center" wrapText="1"/>
    </xf>
    <xf numFmtId="4" fontId="45" fillId="3" borderId="7" xfId="0" applyNumberFormat="1" applyFont="1" applyFill="1" applyBorder="1" applyAlignment="1">
      <alignment horizontal="center" vertical="center"/>
    </xf>
    <xf numFmtId="4" fontId="45" fillId="3" borderId="8" xfId="0" applyNumberFormat="1" applyFont="1" applyFill="1" applyBorder="1" applyAlignment="1">
      <alignment horizontal="center" vertical="center"/>
    </xf>
    <xf numFmtId="0" fontId="45" fillId="3" borderId="1" xfId="0" applyNumberFormat="1" applyFont="1" applyFill="1" applyBorder="1" applyAlignment="1" applyProtection="1">
      <alignment horizontal="center" vertical="center" wrapText="1"/>
    </xf>
    <xf numFmtId="0" fontId="45" fillId="3" borderId="1" xfId="0" applyFont="1" applyFill="1" applyBorder="1" applyAlignment="1">
      <alignment horizontal="left" vertical="center" wrapText="1"/>
    </xf>
    <xf numFmtId="4" fontId="45" fillId="3" borderId="1" xfId="0" applyNumberFormat="1" applyFont="1" applyFill="1" applyBorder="1" applyAlignment="1">
      <alignment horizontal="center" vertical="center"/>
    </xf>
    <xf numFmtId="4" fontId="45" fillId="3" borderId="2" xfId="0" applyNumberFormat="1" applyFont="1" applyFill="1" applyBorder="1" applyAlignment="1">
      <alignment horizontal="center" vertical="center"/>
    </xf>
    <xf numFmtId="0" fontId="45" fillId="3" borderId="5" xfId="0" applyFont="1" applyFill="1" applyBorder="1" applyAlignment="1">
      <alignment horizontal="center" vertical="center"/>
    </xf>
    <xf numFmtId="0" fontId="45" fillId="5" borderId="5" xfId="0" applyFont="1" applyFill="1" applyBorder="1" applyAlignment="1">
      <alignment horizontal="center" vertical="center"/>
    </xf>
    <xf numFmtId="0" fontId="45" fillId="3" borderId="7" xfId="0" applyFont="1" applyFill="1" applyBorder="1" applyAlignment="1">
      <alignment horizontal="center" vertical="center"/>
    </xf>
    <xf numFmtId="0" fontId="45" fillId="3" borderId="1" xfId="0" applyFont="1" applyFill="1" applyBorder="1" applyAlignment="1">
      <alignment horizontal="center" vertical="center"/>
    </xf>
    <xf numFmtId="0" fontId="45" fillId="3" borderId="8" xfId="0" applyFont="1" applyFill="1" applyBorder="1" applyAlignment="1">
      <alignment horizontal="center" vertical="center"/>
    </xf>
    <xf numFmtId="0" fontId="45" fillId="3" borderId="2" xfId="0" applyFont="1" applyFill="1" applyBorder="1" applyAlignment="1">
      <alignment horizontal="center" vertical="center"/>
    </xf>
    <xf numFmtId="4" fontId="15" fillId="0" borderId="1" xfId="0" applyNumberFormat="1" applyFont="1" applyFill="1" applyBorder="1" applyAlignment="1">
      <alignment horizontal="center" vertical="center"/>
    </xf>
    <xf numFmtId="0" fontId="45" fillId="3" borderId="27" xfId="0" applyNumberFormat="1" applyFont="1" applyFill="1" applyBorder="1" applyAlignment="1" applyProtection="1">
      <alignment horizontal="center" vertical="center" wrapText="1"/>
    </xf>
    <xf numFmtId="0" fontId="45" fillId="3" borderId="27" xfId="0" applyFont="1" applyFill="1" applyBorder="1" applyAlignment="1">
      <alignment horizontal="center" vertical="center"/>
    </xf>
    <xf numFmtId="0" fontId="45" fillId="3" borderId="27" xfId="0" applyFont="1" applyFill="1" applyBorder="1" applyAlignment="1">
      <alignment horizontal="left" vertical="center" wrapText="1"/>
    </xf>
    <xf numFmtId="4" fontId="45" fillId="3" borderId="27" xfId="0" applyNumberFormat="1" applyFont="1" applyFill="1" applyBorder="1" applyAlignment="1">
      <alignment horizontal="center" vertical="center"/>
    </xf>
    <xf numFmtId="2" fontId="45" fillId="5" borderId="5" xfId="54" applyNumberFormat="1" applyFont="1" applyFill="1" applyBorder="1" applyAlignment="1">
      <alignment horizontal="center" vertical="center"/>
    </xf>
    <xf numFmtId="2" fontId="45" fillId="5" borderId="5" xfId="59" applyNumberFormat="1" applyFont="1" applyFill="1" applyBorder="1" applyAlignment="1" applyProtection="1">
      <alignment horizontal="center" vertical="center"/>
    </xf>
    <xf numFmtId="2" fontId="45" fillId="3" borderId="5" xfId="59" applyNumberFormat="1" applyFont="1" applyFill="1" applyBorder="1" applyAlignment="1" applyProtection="1">
      <alignment horizontal="center" vertical="center"/>
    </xf>
    <xf numFmtId="2" fontId="45" fillId="3" borderId="7" xfId="59" applyNumberFormat="1" applyFont="1" applyFill="1" applyBorder="1" applyAlignment="1" applyProtection="1">
      <alignment horizontal="center" vertical="center"/>
    </xf>
    <xf numFmtId="2" fontId="45" fillId="3" borderId="8" xfId="59" applyNumberFormat="1" applyFont="1" applyFill="1" applyBorder="1" applyAlignment="1" applyProtection="1">
      <alignment horizontal="center" vertical="center"/>
    </xf>
    <xf numFmtId="2" fontId="45" fillId="3" borderId="1" xfId="59" applyNumberFormat="1" applyFont="1" applyFill="1" applyBorder="1" applyAlignment="1" applyProtection="1">
      <alignment horizontal="center" vertical="center"/>
    </xf>
    <xf numFmtId="2" fontId="45" fillId="3" borderId="2" xfId="59" applyNumberFormat="1" applyFont="1" applyFill="1" applyBorder="1" applyAlignment="1" applyProtection="1">
      <alignment horizontal="center" vertical="center"/>
    </xf>
    <xf numFmtId="2" fontId="45" fillId="3" borderId="27" xfId="59" applyNumberFormat="1" applyFont="1" applyFill="1" applyBorder="1" applyAlignment="1" applyProtection="1">
      <alignment horizontal="center" vertical="center"/>
    </xf>
    <xf numFmtId="0" fontId="45" fillId="3" borderId="6" xfId="0" applyFont="1" applyFill="1" applyBorder="1" applyAlignment="1">
      <alignment horizontal="center" vertical="center"/>
    </xf>
    <xf numFmtId="0" fontId="45" fillId="3" borderId="6" xfId="54" applyFont="1" applyFill="1" applyBorder="1" applyAlignment="1">
      <alignment horizontal="left" vertical="center" wrapText="1"/>
    </xf>
    <xf numFmtId="0" fontId="45" fillId="3" borderId="6" xfId="54" applyFont="1" applyFill="1" applyBorder="1" applyAlignment="1">
      <alignment horizontal="center" vertical="center"/>
    </xf>
    <xf numFmtId="0" fontId="45" fillId="3" borderId="2" xfId="54" applyFont="1" applyFill="1" applyBorder="1" applyAlignment="1">
      <alignment horizontal="left" vertical="center" wrapText="1"/>
    </xf>
    <xf numFmtId="0" fontId="45" fillId="3" borderId="2" xfId="54" applyFont="1" applyFill="1" applyBorder="1" applyAlignment="1">
      <alignment horizontal="center" vertical="center"/>
    </xf>
    <xf numFmtId="169" fontId="45" fillId="3" borderId="2" xfId="0" applyNumberFormat="1" applyFont="1" applyFill="1" applyBorder="1" applyAlignment="1">
      <alignment horizontal="center" vertical="center" wrapText="1"/>
    </xf>
    <xf numFmtId="49" fontId="45" fillId="3" borderId="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wrapText="1"/>
    </xf>
    <xf numFmtId="0" fontId="45" fillId="3" borderId="3" xfId="0" applyFont="1" applyFill="1" applyBorder="1" applyAlignment="1">
      <alignment horizontal="center" vertical="center"/>
    </xf>
    <xf numFmtId="0" fontId="45" fillId="3" borderId="3" xfId="54" applyFont="1" applyFill="1" applyBorder="1" applyAlignment="1">
      <alignment horizontal="left" vertical="center" wrapText="1"/>
    </xf>
    <xf numFmtId="0" fontId="45" fillId="3" borderId="3" xfId="54" applyFont="1" applyFill="1" applyBorder="1" applyAlignment="1">
      <alignment horizontal="center" vertical="center"/>
    </xf>
    <xf numFmtId="2" fontId="45" fillId="3" borderId="2" xfId="54" applyNumberFormat="1" applyFont="1" applyFill="1" applyBorder="1" applyAlignment="1">
      <alignment horizontal="center" vertical="center"/>
    </xf>
    <xf numFmtId="0" fontId="45" fillId="3" borderId="2" xfId="0" applyNumberFormat="1" applyFont="1" applyFill="1" applyBorder="1" applyAlignment="1" applyProtection="1">
      <alignment horizontal="left" vertical="center" wrapText="1"/>
    </xf>
    <xf numFmtId="2" fontId="45" fillId="3" borderId="2" xfId="0" applyNumberFormat="1" applyFont="1" applyFill="1" applyBorder="1" applyAlignment="1" applyProtection="1">
      <alignment horizontal="center" vertical="center" wrapText="1"/>
    </xf>
    <xf numFmtId="0" fontId="45" fillId="3" borderId="4" xfId="0" applyFont="1" applyFill="1" applyBorder="1" applyAlignment="1">
      <alignment horizontal="center" vertical="center"/>
    </xf>
    <xf numFmtId="0" fontId="45" fillId="3" borderId="4" xfId="54" applyFont="1" applyFill="1" applyBorder="1" applyAlignment="1">
      <alignment horizontal="left" vertical="center" wrapText="1"/>
    </xf>
    <xf numFmtId="0" fontId="45" fillId="3" borderId="4" xfId="54" applyFont="1" applyFill="1" applyBorder="1" applyAlignment="1">
      <alignment horizontal="center" vertical="center"/>
    </xf>
    <xf numFmtId="0" fontId="45" fillId="3" borderId="8" xfId="0" applyFont="1" applyFill="1" applyBorder="1" applyAlignment="1">
      <alignment horizontal="center" vertical="center" wrapText="1"/>
    </xf>
    <xf numFmtId="2" fontId="45" fillId="3" borderId="6" xfId="54" applyNumberFormat="1" applyFont="1" applyFill="1" applyBorder="1" applyAlignment="1">
      <alignment horizontal="center" vertical="center"/>
    </xf>
    <xf numFmtId="2" fontId="45" fillId="3" borderId="3" xfId="54" applyNumberFormat="1" applyFont="1" applyFill="1" applyBorder="1" applyAlignment="1">
      <alignment horizontal="center" vertical="center"/>
    </xf>
    <xf numFmtId="2" fontId="45" fillId="3" borderId="4" xfId="54" applyNumberFormat="1" applyFont="1" applyFill="1" applyBorder="1" applyAlignment="1">
      <alignment horizontal="center" vertical="center"/>
    </xf>
    <xf numFmtId="0" fontId="45" fillId="3" borderId="7" xfId="0" applyFont="1" applyFill="1" applyBorder="1" applyAlignment="1">
      <alignment horizontal="center" vertical="center" wrapText="1"/>
    </xf>
    <xf numFmtId="0" fontId="45" fillId="5" borderId="5" xfId="0" applyFont="1" applyFill="1" applyBorder="1" applyAlignment="1">
      <alignment horizontal="center" vertical="center" wrapText="1"/>
    </xf>
    <xf numFmtId="2" fontId="45" fillId="3" borderId="7" xfId="0" applyNumberFormat="1" applyFont="1" applyFill="1" applyBorder="1" applyAlignment="1">
      <alignment horizontal="center" vertical="center" wrapText="1"/>
    </xf>
    <xf numFmtId="0" fontId="44" fillId="5" borderId="5" xfId="0" applyNumberFormat="1" applyFont="1" applyFill="1" applyBorder="1" applyAlignment="1" applyProtection="1">
      <alignment horizontal="center" vertical="center" wrapText="1"/>
    </xf>
    <xf numFmtId="0" fontId="45" fillId="3" borderId="8" xfId="0" applyFont="1" applyFill="1" applyBorder="1" applyAlignment="1">
      <alignment horizontal="left" vertical="top" wrapText="1"/>
    </xf>
    <xf numFmtId="2" fontId="45" fillId="5" borderId="5" xfId="0" applyNumberFormat="1" applyFont="1" applyFill="1" applyBorder="1" applyAlignment="1" applyProtection="1">
      <alignment horizontal="center" vertical="center" wrapText="1"/>
    </xf>
    <xf numFmtId="2" fontId="45" fillId="3" borderId="7" xfId="0" applyNumberFormat="1" applyFont="1" applyFill="1" applyBorder="1" applyAlignment="1" applyProtection="1">
      <alignment horizontal="center" vertical="center" wrapText="1"/>
    </xf>
    <xf numFmtId="2" fontId="45" fillId="3" borderId="4" xfId="0" applyNumberFormat="1" applyFont="1" applyFill="1" applyBorder="1" applyAlignment="1" applyProtection="1">
      <alignment horizontal="center" vertical="center" wrapText="1"/>
    </xf>
    <xf numFmtId="2" fontId="45" fillId="3" borderId="3" xfId="0" applyNumberFormat="1" applyFont="1" applyFill="1" applyBorder="1" applyAlignment="1" applyProtection="1">
      <alignment horizontal="center" vertical="center" wrapText="1"/>
    </xf>
    <xf numFmtId="2" fontId="45" fillId="3" borderId="8" xfId="0" applyNumberFormat="1" applyFont="1" applyFill="1" applyBorder="1" applyAlignment="1" applyProtection="1">
      <alignment horizontal="center" vertical="center" wrapText="1"/>
    </xf>
    <xf numFmtId="0" fontId="44" fillId="5" borderId="5" xfId="0" applyNumberFormat="1" applyFont="1" applyFill="1" applyBorder="1" applyAlignment="1" applyProtection="1">
      <alignment horizontal="right" vertical="center" wrapText="1"/>
    </xf>
    <xf numFmtId="0" fontId="45" fillId="3" borderId="3" xfId="0" applyNumberFormat="1" applyFont="1" applyFill="1" applyBorder="1" applyAlignment="1" applyProtection="1">
      <alignment horizontal="left" vertical="center" wrapText="1"/>
    </xf>
    <xf numFmtId="0" fontId="45" fillId="3" borderId="4" xfId="0" applyNumberFormat="1" applyFont="1" applyFill="1" applyBorder="1" applyAlignment="1" applyProtection="1">
      <alignment horizontal="left" vertical="center" wrapText="1"/>
    </xf>
    <xf numFmtId="4" fontId="45" fillId="3" borderId="5" xfId="0" applyNumberFormat="1" applyFont="1" applyFill="1" applyBorder="1" applyAlignment="1">
      <alignment horizontal="center" vertical="center" wrapText="1"/>
    </xf>
    <xf numFmtId="4" fontId="45" fillId="5" borderId="5" xfId="28" applyNumberFormat="1" applyFont="1" applyFill="1" applyBorder="1" applyAlignment="1">
      <alignment horizontal="center" vertical="center" wrapText="1"/>
    </xf>
    <xf numFmtId="2" fontId="45" fillId="3" borderId="5" xfId="60" applyNumberFormat="1" applyFont="1" applyFill="1" applyBorder="1" applyAlignment="1">
      <alignment horizontal="left" vertical="center" wrapText="1"/>
    </xf>
    <xf numFmtId="2" fontId="45" fillId="3" borderId="5" xfId="0" applyNumberFormat="1" applyFont="1" applyFill="1" applyBorder="1" applyAlignment="1">
      <alignment horizontal="center" vertical="center" wrapText="1"/>
    </xf>
    <xf numFmtId="49" fontId="45" fillId="3" borderId="7" xfId="0" applyNumberFormat="1" applyFont="1" applyFill="1" applyBorder="1" applyAlignment="1">
      <alignment horizontal="center" vertical="center"/>
    </xf>
    <xf numFmtId="0" fontId="45" fillId="3" borderId="19" xfId="0" applyFont="1" applyFill="1" applyBorder="1" applyAlignment="1">
      <alignment horizontal="left" vertical="top" wrapText="1"/>
    </xf>
    <xf numFmtId="0" fontId="45" fillId="3" borderId="21" xfId="0" applyFont="1" applyFill="1" applyBorder="1" applyAlignment="1">
      <alignment horizontal="center" vertical="top" wrapText="1"/>
    </xf>
    <xf numFmtId="0" fontId="45" fillId="3" borderId="22" xfId="0" applyFont="1" applyFill="1" applyBorder="1" applyAlignment="1">
      <alignment horizontal="left" vertical="top" wrapText="1"/>
    </xf>
    <xf numFmtId="0" fontId="45" fillId="3" borderId="22" xfId="0" applyFont="1" applyFill="1" applyBorder="1" applyAlignment="1">
      <alignment horizontal="center" vertical="top" wrapText="1"/>
    </xf>
    <xf numFmtId="0" fontId="45" fillId="3" borderId="22" xfId="0" applyFont="1" applyFill="1" applyBorder="1" applyAlignment="1">
      <alignment horizontal="center" vertical="center" wrapText="1"/>
    </xf>
    <xf numFmtId="0" fontId="45" fillId="3" borderId="21" xfId="0" applyFont="1" applyFill="1" applyBorder="1" applyAlignment="1">
      <alignment horizontal="left" vertical="top" wrapText="1"/>
    </xf>
    <xf numFmtId="0" fontId="45" fillId="3" borderId="20" xfId="0" applyFont="1" applyFill="1" applyBorder="1" applyAlignment="1">
      <alignment horizontal="left" vertical="top" wrapText="1"/>
    </xf>
    <xf numFmtId="0" fontId="45" fillId="3" borderId="20" xfId="0" applyFont="1" applyFill="1" applyBorder="1" applyAlignment="1">
      <alignment horizontal="center" vertical="top" wrapText="1"/>
    </xf>
    <xf numFmtId="0" fontId="45" fillId="3" borderId="19" xfId="0" applyFont="1" applyFill="1" applyBorder="1" applyAlignment="1">
      <alignment horizontal="center" vertical="top" wrapText="1"/>
    </xf>
    <xf numFmtId="0" fontId="45" fillId="3" borderId="24" xfId="0" applyFont="1" applyFill="1" applyBorder="1" applyAlignment="1">
      <alignment horizontal="left" vertical="top" wrapText="1"/>
    </xf>
    <xf numFmtId="0" fontId="45" fillId="3" borderId="24" xfId="0" applyFont="1" applyFill="1" applyBorder="1" applyAlignment="1">
      <alignment horizontal="center" vertical="top" wrapText="1"/>
    </xf>
    <xf numFmtId="2" fontId="45" fillId="3" borderId="21" xfId="0" applyNumberFormat="1" applyFont="1" applyFill="1" applyBorder="1" applyAlignment="1">
      <alignment horizontal="center" vertical="top" wrapText="1"/>
    </xf>
    <xf numFmtId="2" fontId="45" fillId="3" borderId="22" xfId="0" applyNumberFormat="1" applyFont="1" applyFill="1" applyBorder="1" applyAlignment="1">
      <alignment horizontal="center" vertical="top" wrapText="1"/>
    </xf>
    <xf numFmtId="2" fontId="45" fillId="3" borderId="23" xfId="0" applyNumberFormat="1" applyFont="1" applyFill="1" applyBorder="1" applyAlignment="1">
      <alignment horizontal="center" vertical="top" wrapText="1"/>
    </xf>
    <xf numFmtId="2" fontId="45" fillId="3" borderId="20" xfId="0" applyNumberFormat="1" applyFont="1" applyFill="1" applyBorder="1" applyAlignment="1">
      <alignment horizontal="center" vertical="top" wrapText="1"/>
    </xf>
    <xf numFmtId="2" fontId="45" fillId="3" borderId="19" xfId="0" applyNumberFormat="1" applyFont="1" applyFill="1" applyBorder="1" applyAlignment="1">
      <alignment horizontal="center" vertical="top" wrapText="1"/>
    </xf>
    <xf numFmtId="2" fontId="45" fillId="3" borderId="25" xfId="0" applyNumberFormat="1" applyFont="1" applyFill="1" applyBorder="1" applyAlignment="1">
      <alignment horizontal="center" vertical="top" wrapText="1"/>
    </xf>
    <xf numFmtId="49" fontId="12" fillId="3" borderId="2"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2" fillId="3" borderId="27" xfId="0" applyFont="1" applyFill="1" applyBorder="1" applyAlignment="1">
      <alignment horizontal="center" vertical="center" wrapText="1"/>
    </xf>
    <xf numFmtId="49" fontId="12" fillId="3" borderId="27" xfId="0" applyNumberFormat="1" applyFont="1" applyFill="1" applyBorder="1" applyAlignment="1">
      <alignment horizontal="center" vertical="center" wrapText="1"/>
    </xf>
    <xf numFmtId="4" fontId="12" fillId="2" borderId="27" xfId="0" applyNumberFormat="1" applyFont="1" applyFill="1" applyBorder="1" applyAlignment="1">
      <alignment horizontal="center" vertical="center" wrapText="1"/>
    </xf>
    <xf numFmtId="4" fontId="12" fillId="0" borderId="27" xfId="0" applyNumberFormat="1" applyFont="1" applyBorder="1" applyAlignment="1">
      <alignment horizontal="center" vertical="center" wrapText="1"/>
    </xf>
    <xf numFmtId="0" fontId="45" fillId="3" borderId="3" xfId="0" applyFont="1" applyFill="1" applyBorder="1" applyAlignment="1">
      <alignment vertical="center" wrapText="1"/>
    </xf>
    <xf numFmtId="0" fontId="45" fillId="3" borderId="2" xfId="0" applyFont="1" applyFill="1" applyBorder="1" applyAlignment="1">
      <alignment vertical="center" wrapText="1"/>
    </xf>
    <xf numFmtId="0" fontId="45" fillId="3" borderId="4" xfId="0" applyFont="1" applyFill="1" applyBorder="1" applyAlignment="1">
      <alignment vertical="center" wrapText="1"/>
    </xf>
    <xf numFmtId="0" fontId="45" fillId="3" borderId="8" xfId="0" applyFont="1" applyFill="1" applyBorder="1" applyAlignment="1">
      <alignment vertical="center" wrapText="1"/>
    </xf>
    <xf numFmtId="2" fontId="45" fillId="5" borderId="5" xfId="0" applyNumberFormat="1" applyFont="1" applyFill="1" applyBorder="1" applyAlignment="1">
      <alignment horizontal="center" vertical="center"/>
    </xf>
    <xf numFmtId="2" fontId="45" fillId="3" borderId="8" xfId="0" applyNumberFormat="1" applyFont="1" applyFill="1" applyBorder="1" applyAlignment="1">
      <alignment horizontal="center" vertical="center"/>
    </xf>
    <xf numFmtId="0" fontId="44" fillId="5" borderId="5" xfId="0" applyFont="1" applyFill="1" applyBorder="1" applyAlignment="1">
      <alignment vertical="center" wrapText="1"/>
    </xf>
    <xf numFmtId="0" fontId="45" fillId="5" borderId="8" xfId="0" applyNumberFormat="1" applyFont="1" applyFill="1" applyBorder="1" applyAlignment="1" applyProtection="1">
      <alignment horizontal="center" vertical="center" wrapText="1"/>
    </xf>
    <xf numFmtId="0" fontId="44" fillId="5" borderId="8" xfId="0" applyFont="1" applyFill="1" applyBorder="1" applyAlignment="1">
      <alignment horizontal="center" vertical="center" wrapText="1"/>
    </xf>
    <xf numFmtId="0" fontId="44" fillId="5" borderId="8" xfId="0" applyFont="1" applyFill="1" applyBorder="1" applyAlignment="1">
      <alignment vertical="center" wrapText="1"/>
    </xf>
    <xf numFmtId="49" fontId="45" fillId="3" borderId="3" xfId="0" applyNumberFormat="1" applyFont="1" applyFill="1" applyBorder="1" applyAlignment="1">
      <alignment horizontal="left" vertical="center" wrapText="1"/>
    </xf>
    <xf numFmtId="49" fontId="45" fillId="3" borderId="3" xfId="0" applyNumberFormat="1" applyFont="1" applyFill="1" applyBorder="1" applyAlignment="1">
      <alignment horizontal="center" vertical="center" wrapText="1"/>
    </xf>
    <xf numFmtId="170" fontId="45" fillId="3" borderId="3" xfId="0" applyNumberFormat="1" applyFont="1" applyFill="1" applyBorder="1" applyAlignment="1">
      <alignment horizontal="center" vertical="center" wrapText="1"/>
    </xf>
    <xf numFmtId="49" fontId="45" fillId="3" borderId="2" xfId="0" applyNumberFormat="1" applyFont="1" applyFill="1" applyBorder="1" applyAlignment="1">
      <alignment horizontal="left" vertical="center" wrapText="1"/>
    </xf>
    <xf numFmtId="49" fontId="45" fillId="3" borderId="2" xfId="0" applyNumberFormat="1" applyFont="1" applyFill="1" applyBorder="1" applyAlignment="1">
      <alignment horizontal="center" vertical="center" wrapText="1"/>
    </xf>
    <xf numFmtId="170" fontId="45" fillId="3" borderId="2" xfId="0" applyNumberFormat="1" applyFont="1" applyFill="1" applyBorder="1" applyAlignment="1">
      <alignment horizontal="center" vertical="center" wrapText="1"/>
    </xf>
    <xf numFmtId="0" fontId="45" fillId="3" borderId="2" xfId="0" applyNumberFormat="1" applyFont="1" applyFill="1" applyBorder="1" applyAlignment="1">
      <alignment horizontal="center" vertical="center"/>
    </xf>
    <xf numFmtId="1" fontId="45" fillId="3" borderId="2" xfId="0" applyNumberFormat="1" applyFont="1" applyFill="1" applyBorder="1" applyAlignment="1">
      <alignment horizontal="left" vertical="center" wrapText="1"/>
    </xf>
    <xf numFmtId="1" fontId="45" fillId="3" borderId="2" xfId="0" applyNumberFormat="1" applyFont="1" applyFill="1" applyBorder="1" applyAlignment="1">
      <alignment horizontal="center" vertical="center"/>
    </xf>
    <xf numFmtId="1" fontId="45" fillId="3" borderId="2" xfId="0" quotePrefix="1" applyNumberFormat="1" applyFont="1" applyFill="1" applyBorder="1" applyAlignment="1">
      <alignment horizontal="center" vertical="center"/>
    </xf>
    <xf numFmtId="49" fontId="45" fillId="3" borderId="2" xfId="0" applyNumberFormat="1" applyFont="1" applyFill="1" applyBorder="1" applyAlignment="1">
      <alignment vertical="center" wrapText="1"/>
    </xf>
    <xf numFmtId="1" fontId="45" fillId="3" borderId="2" xfId="0" applyNumberFormat="1" applyFont="1" applyFill="1" applyBorder="1" applyAlignment="1">
      <alignment vertical="center" wrapText="1"/>
    </xf>
    <xf numFmtId="1" fontId="45" fillId="3" borderId="4" xfId="0" applyNumberFormat="1" applyFont="1" applyFill="1" applyBorder="1" applyAlignment="1">
      <alignment vertical="center" wrapText="1"/>
    </xf>
    <xf numFmtId="1" fontId="45" fillId="3" borderId="4" xfId="0" applyNumberFormat="1" applyFont="1" applyFill="1" applyBorder="1" applyAlignment="1">
      <alignment horizontal="center" vertical="center"/>
    </xf>
    <xf numFmtId="0" fontId="45" fillId="3" borderId="2" xfId="57" applyFont="1" applyFill="1" applyBorder="1" applyAlignment="1">
      <alignment horizontal="center" wrapText="1"/>
    </xf>
    <xf numFmtId="0" fontId="45" fillId="3" borderId="2" xfId="0" applyFont="1" applyFill="1" applyBorder="1" applyAlignment="1">
      <alignment horizontal="center"/>
    </xf>
    <xf numFmtId="49" fontId="45" fillId="3" borderId="3" xfId="0" applyNumberFormat="1" applyFont="1" applyFill="1" applyBorder="1" applyAlignment="1">
      <alignment vertical="center" wrapText="1"/>
    </xf>
    <xf numFmtId="0" fontId="45" fillId="3" borderId="3" xfId="0" applyNumberFormat="1" applyFont="1" applyFill="1" applyBorder="1" applyAlignment="1">
      <alignment horizontal="center" vertical="center"/>
    </xf>
    <xf numFmtId="164" fontId="45" fillId="3" borderId="2" xfId="59" applyFont="1" applyFill="1" applyBorder="1" applyAlignment="1" applyProtection="1">
      <alignment horizontal="left" vertical="top" wrapText="1"/>
    </xf>
    <xf numFmtId="164" fontId="45" fillId="3" borderId="4" xfId="59" applyFont="1" applyFill="1" applyBorder="1" applyAlignment="1" applyProtection="1">
      <alignment horizontal="left" vertical="top" wrapText="1"/>
    </xf>
    <xf numFmtId="0" fontId="45" fillId="3" borderId="3" xfId="57" applyFont="1" applyFill="1" applyBorder="1" applyAlignment="1">
      <alignment horizontal="center" vertical="center" wrapText="1"/>
    </xf>
    <xf numFmtId="1" fontId="45" fillId="3" borderId="3" xfId="0" applyNumberFormat="1" applyFont="1" applyFill="1" applyBorder="1" applyAlignment="1">
      <alignment horizontal="center" vertical="center" wrapText="1"/>
    </xf>
    <xf numFmtId="0" fontId="45" fillId="3" borderId="2" xfId="57" applyFont="1" applyFill="1" applyBorder="1" applyAlignment="1">
      <alignment horizontal="center" vertical="center" wrapText="1"/>
    </xf>
    <xf numFmtId="170" fontId="45" fillId="3" borderId="2" xfId="57" applyNumberFormat="1" applyFont="1" applyFill="1" applyBorder="1" applyAlignment="1">
      <alignment horizontal="center" vertical="center" wrapText="1"/>
    </xf>
    <xf numFmtId="164" fontId="45" fillId="3" borderId="2" xfId="59" applyFont="1" applyFill="1" applyBorder="1" applyAlignment="1" applyProtection="1">
      <alignment horizontal="left" vertical="center" wrapText="1"/>
    </xf>
    <xf numFmtId="0" fontId="45" fillId="3" borderId="2" xfId="0" quotePrefix="1" applyFont="1" applyFill="1" applyBorder="1" applyAlignment="1">
      <alignment horizontal="center" vertical="center" wrapText="1"/>
    </xf>
    <xf numFmtId="49" fontId="45" fillId="3" borderId="4" xfId="0" applyNumberFormat="1" applyFont="1" applyFill="1" applyBorder="1" applyAlignment="1">
      <alignment horizontal="left" vertical="center" wrapText="1"/>
    </xf>
    <xf numFmtId="49" fontId="45" fillId="3" borderId="4" xfId="0" applyNumberFormat="1" applyFont="1" applyFill="1" applyBorder="1" applyAlignment="1">
      <alignment horizontal="center" vertical="center" wrapText="1"/>
    </xf>
    <xf numFmtId="49" fontId="45" fillId="3" borderId="8" xfId="0" applyNumberFormat="1" applyFont="1" applyFill="1" applyBorder="1" applyAlignment="1">
      <alignment vertical="center" wrapText="1"/>
    </xf>
    <xf numFmtId="2" fontId="44" fillId="5" borderId="5" xfId="0" applyNumberFormat="1" applyFont="1" applyFill="1" applyBorder="1" applyAlignment="1">
      <alignment vertical="center" wrapText="1"/>
    </xf>
    <xf numFmtId="2" fontId="44" fillId="5" borderId="8" xfId="0" applyNumberFormat="1" applyFont="1" applyFill="1" applyBorder="1" applyAlignment="1">
      <alignment vertical="center" wrapText="1"/>
    </xf>
    <xf numFmtId="2" fontId="45" fillId="3" borderId="2" xfId="0" applyNumberFormat="1" applyFont="1" applyFill="1" applyBorder="1" applyAlignment="1">
      <alignment horizontal="center"/>
    </xf>
    <xf numFmtId="2" fontId="45" fillId="3" borderId="2" xfId="57" applyNumberFormat="1" applyFont="1" applyFill="1" applyBorder="1" applyAlignment="1">
      <alignment horizontal="center" vertical="center" wrapText="1"/>
    </xf>
    <xf numFmtId="0" fontId="51" fillId="5" borderId="5" xfId="0" applyNumberFormat="1" applyFont="1" applyFill="1" applyBorder="1" applyAlignment="1">
      <alignment horizontal="center" vertical="center" wrapText="1"/>
    </xf>
    <xf numFmtId="0" fontId="51" fillId="5" borderId="5" xfId="0" applyNumberFormat="1" applyFont="1" applyFill="1" applyBorder="1" applyAlignment="1">
      <alignment vertical="center" wrapText="1"/>
    </xf>
    <xf numFmtId="0" fontId="45" fillId="3" borderId="3" xfId="0" applyNumberFormat="1" applyFont="1" applyFill="1" applyBorder="1" applyAlignment="1">
      <alignment horizontal="left" vertical="top" wrapText="1"/>
    </xf>
    <xf numFmtId="0" fontId="45" fillId="3" borderId="3" xfId="0" applyNumberFormat="1" applyFont="1" applyFill="1" applyBorder="1" applyAlignment="1">
      <alignment horizontal="center" vertical="center" wrapText="1"/>
    </xf>
    <xf numFmtId="0" fontId="45" fillId="3" borderId="2" xfId="0" applyNumberFormat="1" applyFont="1" applyFill="1" applyBorder="1" applyAlignment="1">
      <alignment horizontal="left" vertical="top" wrapText="1"/>
    </xf>
    <xf numFmtId="0" fontId="45" fillId="3" borderId="2" xfId="0" applyNumberFormat="1" applyFont="1" applyFill="1" applyBorder="1" applyAlignment="1">
      <alignment horizontal="center" vertical="top" wrapText="1"/>
    </xf>
    <xf numFmtId="0" fontId="45" fillId="3" borderId="2" xfId="0" applyNumberFormat="1" applyFont="1" applyFill="1" applyBorder="1" applyAlignment="1">
      <alignment horizontal="center" vertical="center" wrapText="1"/>
    </xf>
    <xf numFmtId="0" fontId="45" fillId="3" borderId="2" xfId="0" applyNumberFormat="1" applyFont="1" applyFill="1" applyBorder="1" applyAlignment="1">
      <alignment vertical="top" wrapText="1"/>
    </xf>
    <xf numFmtId="0" fontId="45" fillId="3" borderId="4" xfId="0" applyNumberFormat="1" applyFont="1" applyFill="1" applyBorder="1" applyAlignment="1">
      <alignment horizontal="left" vertical="top" wrapText="1"/>
    </xf>
    <xf numFmtId="0" fontId="45" fillId="3" borderId="4" xfId="0" applyNumberFormat="1" applyFont="1" applyFill="1" applyBorder="1" applyAlignment="1">
      <alignment horizontal="center" vertical="top" wrapText="1"/>
    </xf>
    <xf numFmtId="0" fontId="45" fillId="3" borderId="4" xfId="0" applyNumberFormat="1" applyFont="1" applyFill="1" applyBorder="1" applyAlignment="1">
      <alignment horizontal="center" vertical="center" wrapText="1"/>
    </xf>
    <xf numFmtId="0" fontId="45" fillId="3" borderId="3" xfId="0" applyNumberFormat="1" applyFont="1" applyFill="1" applyBorder="1" applyAlignment="1">
      <alignment horizontal="center" vertical="top" wrapText="1"/>
    </xf>
    <xf numFmtId="2" fontId="44" fillId="5" borderId="5" xfId="51" applyNumberFormat="1" applyFont="1" applyFill="1" applyBorder="1" applyAlignment="1">
      <alignment horizontal="center" vertical="center" wrapText="1"/>
    </xf>
    <xf numFmtId="2" fontId="51" fillId="5" borderId="5" xfId="51" applyNumberFormat="1" applyFont="1" applyFill="1" applyBorder="1" applyAlignment="1">
      <alignment vertical="center" wrapText="1"/>
    </xf>
    <xf numFmtId="0" fontId="45" fillId="3" borderId="3" xfId="0" applyNumberFormat="1" applyFont="1" applyFill="1" applyBorder="1" applyAlignment="1">
      <alignment vertical="center"/>
    </xf>
    <xf numFmtId="0" fontId="45" fillId="3" borderId="2" xfId="0" applyNumberFormat="1" applyFont="1" applyFill="1" applyBorder="1" applyAlignment="1">
      <alignment vertical="center"/>
    </xf>
    <xf numFmtId="0" fontId="45" fillId="3" borderId="2" xfId="0" applyNumberFormat="1" applyFont="1" applyFill="1" applyBorder="1" applyAlignment="1">
      <alignment vertical="center" wrapText="1"/>
    </xf>
    <xf numFmtId="0" fontId="44" fillId="5" borderId="5" xfId="0" applyNumberFormat="1" applyFont="1" applyFill="1" applyBorder="1" applyAlignment="1">
      <alignment horizontal="center" vertical="center" wrapText="1"/>
    </xf>
    <xf numFmtId="169" fontId="45" fillId="3" borderId="3" xfId="0" applyNumberFormat="1" applyFont="1" applyFill="1" applyBorder="1" applyAlignment="1">
      <alignment horizontal="center" vertical="center" wrapText="1"/>
    </xf>
    <xf numFmtId="0" fontId="45" fillId="3" borderId="3" xfId="0" applyNumberFormat="1" applyFont="1" applyFill="1" applyBorder="1" applyAlignment="1">
      <alignment horizontal="left" vertical="center" wrapText="1"/>
    </xf>
    <xf numFmtId="0" fontId="45" fillId="3" borderId="2" xfId="0" applyNumberFormat="1" applyFont="1" applyFill="1" applyBorder="1" applyAlignment="1">
      <alignment horizontal="left" vertical="center" wrapText="1"/>
    </xf>
    <xf numFmtId="0" fontId="45" fillId="3" borderId="2" xfId="36" applyNumberFormat="1" applyFont="1" applyFill="1" applyBorder="1" applyAlignment="1">
      <alignment horizontal="left" vertical="center" wrapText="1"/>
    </xf>
    <xf numFmtId="0" fontId="45" fillId="3" borderId="4" xfId="36" applyNumberFormat="1" applyFont="1" applyFill="1" applyBorder="1" applyAlignment="1">
      <alignment horizontal="left" vertical="center" wrapText="1"/>
    </xf>
    <xf numFmtId="0" fontId="45" fillId="3" borderId="4" xfId="0" applyNumberFormat="1" applyFont="1" applyFill="1" applyBorder="1" applyAlignment="1">
      <alignment horizontal="left" vertical="center" wrapText="1"/>
    </xf>
    <xf numFmtId="0" fontId="45" fillId="3" borderId="3" xfId="36" applyNumberFormat="1" applyFont="1" applyFill="1" applyBorder="1" applyAlignment="1">
      <alignment horizontal="left" vertical="top" wrapText="1"/>
    </xf>
    <xf numFmtId="0" fontId="45" fillId="3" borderId="2" xfId="36" applyNumberFormat="1" applyFont="1" applyFill="1" applyBorder="1" applyAlignment="1">
      <alignment horizontal="left" vertical="top" wrapText="1"/>
    </xf>
    <xf numFmtId="0" fontId="45" fillId="3" borderId="2" xfId="61" applyFont="1" applyFill="1" applyBorder="1" applyAlignment="1">
      <alignment horizontal="left" vertical="top" wrapText="1"/>
    </xf>
    <xf numFmtId="0" fontId="45" fillId="3" borderId="4" xfId="61" applyFont="1" applyFill="1" applyBorder="1" applyAlignment="1">
      <alignment horizontal="left" vertical="top" wrapText="1"/>
    </xf>
    <xf numFmtId="0" fontId="45" fillId="3" borderId="6" xfId="0" applyNumberFormat="1" applyFont="1" applyFill="1" applyBorder="1" applyAlignment="1">
      <alignment horizontal="left" vertical="top" wrapText="1"/>
    </xf>
    <xf numFmtId="0" fontId="45" fillId="3" borderId="6" xfId="0" applyNumberFormat="1" applyFont="1" applyFill="1" applyBorder="1" applyAlignment="1">
      <alignment horizontal="center" vertical="center" wrapText="1"/>
    </xf>
    <xf numFmtId="1" fontId="45" fillId="3" borderId="6" xfId="0" applyNumberFormat="1" applyFont="1" applyFill="1" applyBorder="1" applyAlignment="1">
      <alignment horizontal="center" vertical="center" wrapText="1"/>
    </xf>
    <xf numFmtId="0" fontId="44" fillId="5" borderId="5" xfId="51" applyFont="1" applyFill="1" applyBorder="1" applyAlignment="1">
      <alignment horizontal="center" vertical="center" wrapText="1"/>
    </xf>
    <xf numFmtId="0" fontId="51" fillId="5" borderId="5" xfId="51" applyFont="1" applyFill="1" applyBorder="1" applyAlignment="1">
      <alignment vertical="center" wrapText="1"/>
    </xf>
    <xf numFmtId="0" fontId="45" fillId="3" borderId="2" xfId="0" applyNumberFormat="1" applyFont="1" applyFill="1" applyBorder="1" applyAlignment="1">
      <alignment horizontal="right" vertical="top" wrapText="1"/>
    </xf>
    <xf numFmtId="0" fontId="45" fillId="3" borderId="2" xfId="43" applyFont="1" applyFill="1" applyBorder="1" applyAlignment="1">
      <alignment vertical="center" wrapText="1"/>
    </xf>
    <xf numFmtId="2" fontId="51" fillId="5" borderId="5" xfId="0" applyNumberFormat="1" applyFont="1" applyFill="1" applyBorder="1" applyAlignment="1">
      <alignment vertical="center" wrapText="1"/>
    </xf>
    <xf numFmtId="2" fontId="45" fillId="3" borderId="3" xfId="0" applyNumberFormat="1" applyFont="1" applyFill="1" applyBorder="1" applyAlignment="1">
      <alignment horizontal="center" vertical="top" wrapText="1"/>
    </xf>
    <xf numFmtId="2" fontId="45" fillId="3" borderId="2" xfId="0" applyNumberFormat="1" applyFont="1" applyFill="1" applyBorder="1" applyAlignment="1">
      <alignment horizontal="center" vertical="top" wrapText="1"/>
    </xf>
    <xf numFmtId="1" fontId="16" fillId="4" borderId="5" xfId="52" applyNumberFormat="1" applyFont="1" applyFill="1" applyBorder="1" applyAlignment="1" applyProtection="1">
      <alignment horizontal="center" vertical="center" wrapText="1"/>
      <protection locked="0"/>
    </xf>
    <xf numFmtId="4" fontId="44" fillId="5" borderId="5" xfId="0" applyNumberFormat="1" applyFont="1" applyFill="1" applyBorder="1" applyAlignment="1">
      <alignment vertical="center" wrapText="1" shrinkToFit="1"/>
    </xf>
    <xf numFmtId="0" fontId="21" fillId="5" borderId="5" xfId="0" applyFont="1" applyFill="1" applyBorder="1" applyAlignment="1">
      <alignment vertical="center"/>
    </xf>
    <xf numFmtId="4" fontId="45" fillId="5" borderId="5" xfId="0" applyNumberFormat="1" applyFont="1" applyFill="1" applyBorder="1" applyAlignment="1" applyProtection="1">
      <alignment horizontal="center" vertical="center" wrapText="1"/>
    </xf>
    <xf numFmtId="4" fontId="45" fillId="5" borderId="5" xfId="0" applyNumberFormat="1" applyFont="1" applyFill="1" applyBorder="1" applyAlignment="1">
      <alignment horizontal="center" vertical="center" wrapText="1" shrinkToFit="1"/>
    </xf>
    <xf numFmtId="4" fontId="45" fillId="5" borderId="5" xfId="59" applyNumberFormat="1" applyFont="1" applyFill="1" applyBorder="1" applyAlignment="1" applyProtection="1">
      <alignment horizontal="center" vertical="center" wrapText="1"/>
    </xf>
    <xf numFmtId="4" fontId="45" fillId="3" borderId="3" xfId="0" applyNumberFormat="1" applyFont="1" applyFill="1" applyBorder="1" applyAlignment="1" applyProtection="1">
      <alignment horizontal="center" vertical="center" wrapText="1"/>
    </xf>
    <xf numFmtId="4" fontId="45" fillId="3" borderId="3" xfId="0" applyNumberFormat="1" applyFont="1" applyFill="1" applyBorder="1" applyAlignment="1">
      <alignment horizontal="center" vertical="center" wrapText="1" shrinkToFit="1"/>
    </xf>
    <xf numFmtId="4" fontId="45" fillId="3" borderId="3" xfId="59" applyNumberFormat="1" applyFont="1" applyFill="1" applyBorder="1" applyAlignment="1" applyProtection="1">
      <alignment horizontal="center" vertical="center" wrapText="1"/>
    </xf>
    <xf numFmtId="4" fontId="45" fillId="3" borderId="2" xfId="0" applyNumberFormat="1" applyFont="1" applyFill="1" applyBorder="1" applyAlignment="1" applyProtection="1">
      <alignment horizontal="center" vertical="center" wrapText="1"/>
    </xf>
    <xf numFmtId="4" fontId="45" fillId="3" borderId="2" xfId="0" applyNumberFormat="1" applyFont="1" applyFill="1" applyBorder="1" applyAlignment="1">
      <alignment horizontal="center" vertical="center" wrapText="1" shrinkToFit="1"/>
    </xf>
    <xf numFmtId="4" fontId="45" fillId="3" borderId="2" xfId="59" applyNumberFormat="1" applyFont="1" applyFill="1" applyBorder="1" applyAlignment="1" applyProtection="1">
      <alignment horizontal="center" vertical="center" wrapText="1"/>
    </xf>
    <xf numFmtId="4" fontId="45" fillId="3" borderId="4" xfId="0" applyNumberFormat="1" applyFont="1" applyFill="1" applyBorder="1" applyAlignment="1" applyProtection="1">
      <alignment horizontal="center" vertical="center" wrapText="1"/>
    </xf>
    <xf numFmtId="0" fontId="45" fillId="3" borderId="2" xfId="0" applyFont="1" applyFill="1" applyBorder="1" applyAlignment="1">
      <alignment horizontal="center" wrapText="1"/>
    </xf>
    <xf numFmtId="49" fontId="45" fillId="3" borderId="2" xfId="0" applyNumberFormat="1" applyFont="1" applyFill="1" applyBorder="1" applyAlignment="1">
      <alignment vertical="center"/>
    </xf>
    <xf numFmtId="0" fontId="45" fillId="3" borderId="4" xfId="0" applyFont="1" applyFill="1" applyBorder="1" applyAlignment="1">
      <alignment wrapText="1"/>
    </xf>
    <xf numFmtId="4" fontId="45" fillId="3" borderId="4" xfId="0" applyNumberFormat="1" applyFont="1" applyFill="1" applyBorder="1" applyAlignment="1">
      <alignment horizontal="center" vertical="center" wrapText="1" shrinkToFit="1"/>
    </xf>
    <xf numFmtId="4" fontId="45" fillId="3" borderId="4" xfId="59" applyNumberFormat="1" applyFont="1" applyFill="1" applyBorder="1" applyAlignment="1" applyProtection="1">
      <alignment horizontal="center" vertical="center" wrapText="1"/>
    </xf>
    <xf numFmtId="0" fontId="45" fillId="3" borderId="4" xfId="0" applyFont="1" applyFill="1" applyBorder="1" applyAlignment="1">
      <alignment horizontal="center"/>
    </xf>
    <xf numFmtId="0" fontId="45" fillId="3" borderId="3" xfId="0" applyFont="1" applyFill="1" applyBorder="1" applyAlignment="1">
      <alignment wrapText="1"/>
    </xf>
    <xf numFmtId="0" fontId="45" fillId="3" borderId="2" xfId="0" applyFont="1" applyFill="1" applyBorder="1" applyAlignment="1">
      <alignment wrapText="1"/>
    </xf>
    <xf numFmtId="0" fontId="45" fillId="3" borderId="8" xfId="0" applyFont="1" applyFill="1" applyBorder="1"/>
    <xf numFmtId="49" fontId="45" fillId="3" borderId="8" xfId="0" applyNumberFormat="1" applyFont="1" applyFill="1" applyBorder="1" applyAlignment="1">
      <alignment horizontal="center" vertical="center" wrapText="1"/>
    </xf>
    <xf numFmtId="4" fontId="45" fillId="3" borderId="8" xfId="0" applyNumberFormat="1" applyFont="1" applyFill="1" applyBorder="1" applyAlignment="1" applyProtection="1">
      <alignment horizontal="center" vertical="center" wrapText="1"/>
    </xf>
    <xf numFmtId="4" fontId="45" fillId="3" borderId="8" xfId="0" applyNumberFormat="1" applyFont="1" applyFill="1" applyBorder="1" applyAlignment="1">
      <alignment horizontal="center" vertical="center" wrapText="1" shrinkToFit="1"/>
    </xf>
    <xf numFmtId="4" fontId="45" fillId="3" borderId="8" xfId="59" applyNumberFormat="1" applyFont="1" applyFill="1" applyBorder="1" applyAlignment="1" applyProtection="1">
      <alignment horizontal="center" vertical="center" wrapText="1"/>
    </xf>
    <xf numFmtId="2" fontId="21" fillId="5" borderId="5" xfId="0" applyNumberFormat="1" applyFont="1" applyFill="1" applyBorder="1" applyAlignment="1">
      <alignment vertical="center"/>
    </xf>
    <xf numFmtId="2" fontId="45" fillId="3" borderId="4" xfId="0" applyNumberFormat="1" applyFont="1" applyFill="1" applyBorder="1" applyAlignment="1">
      <alignment horizontal="center"/>
    </xf>
    <xf numFmtId="1" fontId="21" fillId="4" borderId="7" xfId="52" applyNumberFormat="1" applyFont="1" applyFill="1" applyBorder="1" applyAlignment="1" applyProtection="1">
      <alignment horizontal="center" vertical="center" wrapText="1"/>
      <protection locked="0"/>
    </xf>
    <xf numFmtId="0" fontId="45" fillId="3" borderId="2" xfId="0" applyFont="1" applyFill="1" applyBorder="1" applyAlignment="1">
      <alignment horizontal="center" vertical="top" wrapText="1"/>
    </xf>
    <xf numFmtId="0" fontId="45" fillId="3" borderId="2" xfId="0" applyFont="1" applyFill="1" applyBorder="1"/>
    <xf numFmtId="4" fontId="44" fillId="0" borderId="0" xfId="58" applyNumberFormat="1" applyFont="1" applyFill="1" applyBorder="1" applyAlignment="1">
      <alignment horizontal="right"/>
    </xf>
    <xf numFmtId="2" fontId="44" fillId="0" borderId="0" xfId="58" applyNumberFormat="1" applyFont="1" applyFill="1" applyBorder="1" applyAlignment="1">
      <alignment horizontal="right"/>
    </xf>
    <xf numFmtId="0" fontId="13" fillId="0" borderId="0" xfId="22" applyFont="1" applyAlignment="1">
      <alignment horizontal="center" vertical="top"/>
    </xf>
    <xf numFmtId="0" fontId="45" fillId="5" borderId="8" xfId="0" applyFont="1" applyFill="1" applyBorder="1" applyAlignment="1">
      <alignment horizontal="center" vertical="center" wrapText="1"/>
    </xf>
    <xf numFmtId="0" fontId="15" fillId="0" borderId="0" xfId="22" applyFont="1" applyAlignment="1">
      <alignment horizontal="center"/>
    </xf>
    <xf numFmtId="1" fontId="45" fillId="3" borderId="2" xfId="0" applyNumberFormat="1" applyFont="1" applyFill="1" applyBorder="1" applyAlignment="1" applyProtection="1">
      <alignment horizontal="center" vertical="center" wrapText="1"/>
      <protection locked="0"/>
    </xf>
    <xf numFmtId="0" fontId="44" fillId="5" borderId="5" xfId="0" applyFont="1" applyFill="1" applyBorder="1" applyAlignment="1">
      <alignment horizontal="center" vertical="center"/>
    </xf>
    <xf numFmtId="0" fontId="53" fillId="5" borderId="5" xfId="0" applyFont="1" applyFill="1" applyBorder="1" applyAlignment="1" applyProtection="1">
      <alignment horizontal="center" vertical="center" wrapText="1"/>
      <protection locked="0"/>
    </xf>
    <xf numFmtId="0" fontId="45" fillId="3" borderId="2" xfId="0" applyFont="1" applyFill="1" applyBorder="1" applyAlignment="1"/>
    <xf numFmtId="2" fontId="45" fillId="3" borderId="3" xfId="0" applyNumberFormat="1" applyFont="1" applyFill="1" applyBorder="1" applyAlignment="1" applyProtection="1">
      <alignment horizontal="center" vertical="center" wrapText="1"/>
      <protection locked="0"/>
    </xf>
    <xf numFmtId="2" fontId="45" fillId="3" borderId="2" xfId="0" applyNumberFormat="1" applyFont="1" applyFill="1" applyBorder="1" applyAlignment="1" applyProtection="1">
      <alignment horizontal="center" vertical="center" wrapText="1"/>
      <protection locked="0"/>
    </xf>
    <xf numFmtId="2" fontId="45" fillId="3" borderId="2" xfId="0" applyNumberFormat="1" applyFont="1" applyFill="1" applyBorder="1" applyAlignment="1">
      <alignment horizontal="center" wrapText="1"/>
    </xf>
    <xf numFmtId="2" fontId="45" fillId="3" borderId="4" xfId="0" applyNumberFormat="1" applyFont="1" applyFill="1" applyBorder="1" applyAlignment="1">
      <alignment horizontal="center" wrapText="1"/>
    </xf>
    <xf numFmtId="2" fontId="53" fillId="5" borderId="5"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xf>
    <xf numFmtId="0" fontId="45" fillId="0" borderId="3" xfId="0" applyNumberFormat="1" applyFont="1" applyFill="1" applyBorder="1" applyAlignment="1" applyProtection="1">
      <alignment horizontal="left" vertical="top"/>
    </xf>
    <xf numFmtId="0" fontId="45" fillId="0" borderId="3" xfId="0" applyNumberFormat="1" applyFont="1" applyFill="1" applyBorder="1" applyAlignment="1" applyProtection="1">
      <alignment horizontal="center" vertical="top"/>
    </xf>
    <xf numFmtId="0" fontId="45" fillId="0" borderId="2"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horizontal="left" vertical="top"/>
    </xf>
    <xf numFmtId="0" fontId="45" fillId="0" borderId="2" xfId="0" applyNumberFormat="1" applyFont="1" applyFill="1" applyBorder="1" applyAlignment="1" applyProtection="1">
      <alignment horizontal="center" vertical="top"/>
    </xf>
    <xf numFmtId="0" fontId="45" fillId="0" borderId="2" xfId="53" applyNumberFormat="1" applyFont="1" applyFill="1" applyBorder="1" applyAlignment="1">
      <alignment horizontal="left" vertical="center" wrapText="1"/>
    </xf>
    <xf numFmtId="0" fontId="45" fillId="0" borderId="2" xfId="53" applyNumberFormat="1" applyFont="1" applyFill="1" applyBorder="1" applyAlignment="1">
      <alignment horizontal="center" vertical="center" wrapText="1"/>
    </xf>
    <xf numFmtId="0" fontId="45" fillId="0" borderId="2" xfId="0" applyFont="1" applyFill="1" applyBorder="1" applyAlignment="1">
      <alignment vertical="center" wrapText="1"/>
    </xf>
    <xf numFmtId="0" fontId="45" fillId="0" borderId="2" xfId="0" applyNumberFormat="1" applyFont="1" applyFill="1" applyBorder="1" applyAlignment="1" applyProtection="1">
      <alignment horizontal="center" vertical="center"/>
    </xf>
    <xf numFmtId="0" fontId="45" fillId="3" borderId="8" xfId="0" applyNumberFormat="1" applyFont="1" applyFill="1" applyBorder="1" applyAlignment="1" applyProtection="1">
      <alignment horizontal="center" vertical="top"/>
    </xf>
    <xf numFmtId="0" fontId="45" fillId="3" borderId="0" xfId="0" applyNumberFormat="1" applyFont="1" applyFill="1" applyBorder="1" applyAlignment="1" applyProtection="1">
      <alignment horizontal="center" vertical="center" wrapText="1"/>
    </xf>
    <xf numFmtId="0" fontId="45" fillId="3" borderId="0" xfId="0" applyFont="1" applyFill="1" applyBorder="1" applyAlignment="1">
      <alignment vertical="center" wrapText="1"/>
    </xf>
    <xf numFmtId="0" fontId="45" fillId="3" borderId="0" xfId="0" applyNumberFormat="1" applyFont="1" applyFill="1" applyBorder="1" applyAlignment="1" applyProtection="1">
      <alignment horizontal="center" vertical="top"/>
    </xf>
    <xf numFmtId="2" fontId="45" fillId="0" borderId="2" xfId="0" applyNumberFormat="1" applyFont="1" applyFill="1" applyBorder="1" applyAlignment="1" applyProtection="1">
      <alignment horizontal="center" vertical="top"/>
    </xf>
    <xf numFmtId="2" fontId="45" fillId="0" borderId="2" xfId="53" applyNumberFormat="1" applyFont="1" applyFill="1" applyBorder="1" applyAlignment="1">
      <alignment horizontal="center" vertical="center" wrapText="1"/>
    </xf>
    <xf numFmtId="2" fontId="45" fillId="0" borderId="2" xfId="0" applyNumberFormat="1" applyFont="1" applyFill="1" applyBorder="1" applyAlignment="1" applyProtection="1">
      <alignment horizontal="center" vertical="center"/>
    </xf>
    <xf numFmtId="2" fontId="45" fillId="3" borderId="8" xfId="0" applyNumberFormat="1" applyFont="1" applyFill="1" applyBorder="1" applyAlignment="1" applyProtection="1">
      <alignment horizontal="center" vertical="top"/>
    </xf>
    <xf numFmtId="0" fontId="21" fillId="5" borderId="5" xfId="54" applyFont="1" applyFill="1" applyBorder="1" applyAlignment="1">
      <alignment horizontal="center" vertical="center" wrapText="1" shrinkToFit="1"/>
    </xf>
    <xf numFmtId="0" fontId="12" fillId="5" borderId="5" xfId="0" applyFont="1" applyFill="1" applyBorder="1" applyAlignment="1">
      <alignment horizontal="center" vertical="top" wrapText="1"/>
    </xf>
    <xf numFmtId="2" fontId="12" fillId="5" borderId="5" xfId="0" applyNumberFormat="1" applyFont="1" applyFill="1" applyBorder="1" applyAlignment="1">
      <alignment horizontal="center" vertical="top" wrapText="1"/>
    </xf>
    <xf numFmtId="0" fontId="12" fillId="3" borderId="2" xfId="54" applyFont="1" applyFill="1" applyBorder="1" applyAlignment="1">
      <alignment horizontal="left" vertical="center" wrapText="1" shrinkToFit="1"/>
    </xf>
    <xf numFmtId="0" fontId="12" fillId="3" borderId="2" xfId="0" applyFont="1" applyFill="1" applyBorder="1" applyAlignment="1">
      <alignment horizontal="center" vertical="top" wrapText="1"/>
    </xf>
    <xf numFmtId="2" fontId="12" fillId="3" borderId="3" xfId="0" applyNumberFormat="1" applyFont="1" applyFill="1" applyBorder="1" applyAlignment="1">
      <alignment horizontal="center" vertical="center" wrapText="1"/>
    </xf>
    <xf numFmtId="2" fontId="12" fillId="3" borderId="2" xfId="0" applyNumberFormat="1" applyFont="1" applyFill="1" applyBorder="1" applyAlignment="1">
      <alignment horizontal="center" vertical="center" wrapText="1"/>
    </xf>
    <xf numFmtId="2" fontId="12" fillId="3" borderId="8" xfId="0" applyNumberFormat="1" applyFont="1" applyFill="1" applyBorder="1" applyAlignment="1">
      <alignment horizontal="center" vertical="center" wrapText="1"/>
    </xf>
    <xf numFmtId="0" fontId="12" fillId="3" borderId="7"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center" vertical="center" wrapText="1"/>
      <protection locked="0"/>
    </xf>
    <xf numFmtId="0" fontId="12" fillId="3" borderId="2" xfId="0" applyFont="1" applyFill="1" applyBorder="1" applyAlignment="1" applyProtection="1">
      <alignment wrapText="1"/>
      <protection locked="0"/>
    </xf>
    <xf numFmtId="0" fontId="1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center" wrapText="1"/>
      <protection locked="0"/>
    </xf>
    <xf numFmtId="0" fontId="12" fillId="3" borderId="2" xfId="54" applyFont="1" applyFill="1" applyBorder="1" applyAlignment="1" applyProtection="1">
      <alignment horizontal="left" vertical="center" wrapText="1"/>
      <protection locked="0"/>
    </xf>
    <xf numFmtId="0" fontId="12" fillId="3" borderId="2" xfId="0" applyFont="1" applyFill="1" applyBorder="1" applyAlignment="1"/>
    <xf numFmtId="0" fontId="12" fillId="3" borderId="2" xfId="0" applyFont="1" applyFill="1" applyBorder="1" applyAlignment="1">
      <alignment horizontal="center"/>
    </xf>
    <xf numFmtId="0" fontId="12" fillId="3" borderId="2" xfId="0" applyFont="1" applyFill="1" applyBorder="1"/>
    <xf numFmtId="0" fontId="12" fillId="3" borderId="8" xfId="0" applyFont="1" applyFill="1" applyBorder="1"/>
    <xf numFmtId="2" fontId="12" fillId="3" borderId="7" xfId="0" applyNumberFormat="1" applyFont="1" applyFill="1" applyBorder="1" applyAlignment="1" applyProtection="1">
      <alignment horizontal="center" vertical="center" wrapText="1"/>
      <protection locked="0"/>
    </xf>
    <xf numFmtId="2" fontId="12" fillId="3" borderId="2" xfId="0" applyNumberFormat="1" applyFont="1" applyFill="1" applyBorder="1" applyAlignment="1" applyProtection="1">
      <alignment horizontal="center" vertical="center" wrapText="1"/>
      <protection locked="0"/>
    </xf>
    <xf numFmtId="2" fontId="12" fillId="3" borderId="2" xfId="0" applyNumberFormat="1" applyFont="1" applyFill="1" applyBorder="1" applyAlignment="1">
      <alignment horizontal="center"/>
    </xf>
    <xf numFmtId="2" fontId="12" fillId="3" borderId="8" xfId="0" applyNumberFormat="1" applyFont="1" applyFill="1" applyBorder="1" applyAlignment="1">
      <alignment horizontal="center"/>
    </xf>
    <xf numFmtId="0" fontId="12" fillId="3" borderId="3" xfId="0" applyFont="1" applyFill="1" applyBorder="1" applyAlignment="1">
      <alignment horizontal="center" wrapText="1"/>
    </xf>
    <xf numFmtId="0" fontId="12" fillId="3" borderId="2" xfId="0" applyFont="1" applyFill="1" applyBorder="1" applyAlignment="1">
      <alignment wrapText="1"/>
    </xf>
    <xf numFmtId="0" fontId="12" fillId="3" borderId="2" xfId="0" applyFont="1" applyFill="1" applyBorder="1" applyAlignment="1">
      <alignment horizontal="center" wrapText="1"/>
    </xf>
    <xf numFmtId="49" fontId="12" fillId="3" borderId="2" xfId="0" applyNumberFormat="1" applyFont="1" applyFill="1" applyBorder="1" applyAlignment="1">
      <alignment vertical="center"/>
    </xf>
    <xf numFmtId="171" fontId="12" fillId="3" borderId="2" xfId="0" applyNumberFormat="1" applyFont="1" applyFill="1" applyBorder="1" applyAlignment="1">
      <alignment vertical="center"/>
    </xf>
    <xf numFmtId="49" fontId="12" fillId="3" borderId="2" xfId="53" applyFont="1" applyFill="1" applyBorder="1" applyAlignment="1">
      <alignment horizontal="center" vertical="center"/>
    </xf>
    <xf numFmtId="0" fontId="12" fillId="3" borderId="8" xfId="0" applyFont="1" applyFill="1" applyBorder="1" applyAlignment="1">
      <alignment wrapText="1"/>
    </xf>
    <xf numFmtId="0" fontId="12" fillId="3" borderId="8" xfId="0" applyFont="1" applyFill="1" applyBorder="1" applyAlignment="1">
      <alignment horizontal="center" wrapText="1"/>
    </xf>
    <xf numFmtId="0" fontId="44" fillId="5" borderId="5" xfId="0" applyFont="1" applyFill="1" applyBorder="1"/>
    <xf numFmtId="0" fontId="45" fillId="5" borderId="5" xfId="62" applyFont="1" applyFill="1" applyBorder="1" applyAlignment="1">
      <alignment horizontal="center" vertical="center" wrapText="1"/>
    </xf>
    <xf numFmtId="0" fontId="45" fillId="5" borderId="5" xfId="62" applyFont="1" applyFill="1" applyBorder="1" applyAlignment="1" applyProtection="1">
      <alignment horizontal="center" vertical="center" wrapText="1"/>
      <protection locked="0"/>
    </xf>
    <xf numFmtId="0" fontId="45" fillId="3" borderId="3" xfId="0" applyFont="1" applyFill="1" applyBorder="1" applyAlignment="1">
      <alignment horizontal="center"/>
    </xf>
    <xf numFmtId="0" fontId="45" fillId="3" borderId="2" xfId="56" applyFont="1" applyFill="1" applyBorder="1" applyAlignment="1">
      <alignment horizontal="left" wrapText="1"/>
    </xf>
    <xf numFmtId="0" fontId="45" fillId="3" borderId="2" xfId="63" applyFont="1" applyFill="1" applyBorder="1" applyAlignment="1">
      <alignment horizontal="center"/>
    </xf>
    <xf numFmtId="0" fontId="45" fillId="3" borderId="2" xfId="63" applyFont="1" applyFill="1" applyBorder="1" applyAlignment="1">
      <alignment wrapText="1"/>
    </xf>
    <xf numFmtId="0" fontId="45" fillId="3" borderId="2" xfId="56" applyFont="1" applyFill="1" applyBorder="1" applyAlignment="1">
      <alignment horizontal="center" wrapText="1"/>
    </xf>
    <xf numFmtId="0" fontId="44" fillId="5" borderId="5" xfId="0" applyFont="1" applyFill="1" applyBorder="1" applyAlignment="1">
      <alignment wrapText="1"/>
    </xf>
    <xf numFmtId="0" fontId="45" fillId="5" borderId="5" xfId="0" applyFont="1" applyFill="1" applyBorder="1" applyAlignment="1">
      <alignment horizontal="left" vertical="center" wrapText="1"/>
    </xf>
    <xf numFmtId="0" fontId="45" fillId="3" borderId="8" xfId="0" applyFont="1" applyFill="1" applyBorder="1" applyAlignment="1">
      <alignment wrapText="1"/>
    </xf>
    <xf numFmtId="2" fontId="45" fillId="3" borderId="3" xfId="0" applyNumberFormat="1" applyFont="1" applyFill="1" applyBorder="1" applyAlignment="1">
      <alignment horizontal="center"/>
    </xf>
    <xf numFmtId="2" fontId="45" fillId="3" borderId="2" xfId="63" applyNumberFormat="1" applyFont="1" applyFill="1" applyBorder="1" applyAlignment="1">
      <alignment horizontal="center"/>
    </xf>
    <xf numFmtId="0" fontId="45" fillId="3" borderId="2" xfId="0" applyFont="1" applyFill="1" applyBorder="1" applyAlignment="1">
      <alignment horizontal="left" wrapText="1"/>
    </xf>
    <xf numFmtId="0" fontId="45" fillId="3" borderId="4" xfId="0" applyFont="1" applyFill="1" applyBorder="1" applyAlignment="1">
      <alignment horizontal="left" wrapText="1"/>
    </xf>
    <xf numFmtId="0" fontId="45" fillId="3" borderId="2" xfId="56" applyFont="1" applyFill="1" applyBorder="1" applyAlignment="1">
      <alignment horizontal="left" vertical="center" wrapText="1"/>
    </xf>
    <xf numFmtId="0" fontId="45" fillId="0" borderId="3" xfId="0" applyFont="1" applyFill="1" applyBorder="1" applyAlignment="1">
      <alignment horizontal="center" vertical="center" wrapText="1"/>
    </xf>
    <xf numFmtId="0" fontId="45" fillId="0" borderId="3" xfId="0" applyFont="1" applyFill="1" applyBorder="1" applyAlignment="1" applyProtection="1">
      <alignment horizontal="left" vertical="center" wrapText="1"/>
      <protection locked="0"/>
    </xf>
    <xf numFmtId="0" fontId="45" fillId="0" borderId="3" xfId="0" applyFont="1" applyFill="1" applyBorder="1" applyAlignment="1" applyProtection="1">
      <alignment horizontal="center" vertical="center" wrapText="1"/>
      <protection locked="0"/>
    </xf>
    <xf numFmtId="0" fontId="45" fillId="0" borderId="2" xfId="0" applyFont="1" applyFill="1" applyBorder="1" applyAlignment="1">
      <alignment horizontal="center" vertical="center" wrapText="1"/>
    </xf>
    <xf numFmtId="0" fontId="45" fillId="0" borderId="2" xfId="0" applyFont="1" applyFill="1" applyBorder="1" applyAlignment="1" applyProtection="1">
      <alignment horizontal="left" vertical="center" wrapText="1"/>
      <protection locked="0"/>
    </xf>
    <xf numFmtId="0" fontId="45" fillId="0" borderId="2" xfId="0" applyFont="1" applyFill="1" applyBorder="1" applyAlignment="1" applyProtection="1">
      <alignment horizontal="center" vertical="center" wrapText="1"/>
      <protection locked="0"/>
    </xf>
    <xf numFmtId="0" fontId="45" fillId="0" borderId="2" xfId="54" applyFont="1" applyFill="1" applyBorder="1" applyAlignment="1" applyProtection="1">
      <alignment horizontal="left" vertical="center" wrapText="1"/>
      <protection locked="0"/>
    </xf>
    <xf numFmtId="0" fontId="45" fillId="0" borderId="2" xfId="29" applyFont="1" applyFill="1" applyBorder="1" applyAlignment="1" applyProtection="1">
      <alignment horizontal="center" vertical="center" wrapText="1"/>
      <protection locked="0"/>
    </xf>
    <xf numFmtId="0" fontId="45" fillId="3" borderId="4" xfId="0" applyFont="1" applyFill="1" applyBorder="1" applyAlignment="1" applyProtection="1">
      <alignment horizontal="left" vertical="center" wrapText="1"/>
      <protection locked="0"/>
    </xf>
    <xf numFmtId="0" fontId="45" fillId="3" borderId="4" xfId="0" applyFont="1" applyFill="1" applyBorder="1" applyAlignment="1" applyProtection="1">
      <alignment horizontal="center" vertical="center" wrapText="1"/>
      <protection locked="0"/>
    </xf>
    <xf numFmtId="2" fontId="45" fillId="0" borderId="3" xfId="0" applyNumberFormat="1" applyFont="1" applyFill="1" applyBorder="1" applyAlignment="1" applyProtection="1">
      <alignment horizontal="center" vertical="center" wrapText="1"/>
      <protection locked="0"/>
    </xf>
    <xf numFmtId="2" fontId="45" fillId="0" borderId="2" xfId="0" applyNumberFormat="1" applyFont="1" applyFill="1" applyBorder="1" applyAlignment="1" applyProtection="1">
      <alignment horizontal="center" vertical="center" wrapText="1"/>
      <protection locked="0"/>
    </xf>
    <xf numFmtId="2" fontId="45" fillId="3" borderId="4" xfId="0" applyNumberFormat="1" applyFont="1" applyFill="1" applyBorder="1" applyAlignment="1" applyProtection="1">
      <alignment horizontal="center" vertical="center" wrapText="1"/>
      <protection locked="0"/>
    </xf>
    <xf numFmtId="0" fontId="45" fillId="3" borderId="0" xfId="0" applyFont="1" applyFill="1" applyBorder="1" applyAlignment="1">
      <alignment horizontal="center" vertical="center" wrapText="1"/>
    </xf>
    <xf numFmtId="0" fontId="45" fillId="3" borderId="0" xfId="0" applyFont="1" applyFill="1" applyBorder="1" applyAlignment="1">
      <alignment wrapText="1"/>
    </xf>
    <xf numFmtId="0" fontId="45" fillId="3" borderId="0" xfId="0" applyFont="1" applyFill="1" applyBorder="1" applyAlignment="1">
      <alignment horizontal="center"/>
    </xf>
    <xf numFmtId="2" fontId="45" fillId="3" borderId="8" xfId="0" applyNumberFormat="1" applyFont="1" applyFill="1" applyBorder="1" applyAlignment="1">
      <alignment horizontal="center"/>
    </xf>
    <xf numFmtId="0" fontId="12" fillId="0" borderId="5" xfId="0"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44" fillId="5" borderId="5" xfId="64" applyFont="1" applyFill="1" applyBorder="1" applyAlignment="1">
      <alignment horizontal="center" vertical="center" wrapText="1"/>
    </xf>
    <xf numFmtId="4" fontId="44" fillId="5" borderId="5" xfId="35" applyNumberFormat="1" applyFont="1" applyFill="1" applyBorder="1" applyAlignment="1" applyProtection="1">
      <alignment horizontal="center" vertical="center"/>
    </xf>
    <xf numFmtId="0" fontId="45" fillId="3" borderId="6" xfId="0" applyNumberFormat="1" applyFont="1" applyFill="1" applyBorder="1" applyAlignment="1" applyProtection="1">
      <alignment horizontal="left" vertical="center" wrapText="1"/>
    </xf>
    <xf numFmtId="0" fontId="44" fillId="5" borderId="5" xfId="64" applyFont="1" applyFill="1" applyBorder="1" applyAlignment="1">
      <alignment horizontal="right" vertical="center" wrapText="1"/>
    </xf>
    <xf numFmtId="4" fontId="45" fillId="5" borderId="5" xfId="35" applyNumberFormat="1" applyFont="1" applyFill="1" applyBorder="1" applyAlignment="1" applyProtection="1">
      <alignment horizontal="center" vertical="center"/>
    </xf>
    <xf numFmtId="0" fontId="51" fillId="5" borderId="5" xfId="64" applyFont="1" applyFill="1" applyBorder="1" applyAlignment="1">
      <alignment horizontal="right" vertical="center" wrapText="1"/>
    </xf>
    <xf numFmtId="4" fontId="44" fillId="5" borderId="5" xfId="0" applyNumberFormat="1" applyFont="1" applyFill="1" applyBorder="1" applyAlignment="1">
      <alignment horizontal="center" vertical="center" wrapText="1"/>
    </xf>
    <xf numFmtId="0" fontId="45" fillId="3" borderId="3" xfId="64" applyFont="1" applyFill="1" applyBorder="1" applyAlignment="1">
      <alignment horizontal="left" vertical="center" wrapText="1"/>
    </xf>
    <xf numFmtId="0" fontId="45" fillId="3" borderId="2" xfId="64" applyFont="1" applyFill="1" applyBorder="1" applyAlignment="1">
      <alignment horizontal="left" vertical="center" wrapText="1"/>
    </xf>
    <xf numFmtId="0" fontId="45" fillId="3" borderId="4" xfId="64" applyFont="1" applyFill="1" applyBorder="1" applyAlignment="1">
      <alignment horizontal="left" vertical="center" wrapText="1"/>
    </xf>
    <xf numFmtId="4" fontId="45" fillId="3" borderId="4" xfId="0" applyNumberFormat="1" applyFont="1" applyFill="1" applyBorder="1" applyAlignment="1">
      <alignment horizontal="center" vertical="center"/>
    </xf>
    <xf numFmtId="0" fontId="45" fillId="3" borderId="6" xfId="64" applyFont="1" applyFill="1" applyBorder="1" applyAlignment="1">
      <alignment horizontal="left" vertical="center" wrapText="1"/>
    </xf>
    <xf numFmtId="2" fontId="44" fillId="5" borderId="5" xfId="54" applyNumberFormat="1" applyFont="1" applyFill="1" applyBorder="1" applyAlignment="1">
      <alignment horizontal="center" vertical="center"/>
    </xf>
    <xf numFmtId="2" fontId="45" fillId="3" borderId="6" xfId="0" applyNumberFormat="1" applyFont="1" applyFill="1" applyBorder="1" applyAlignment="1" applyProtection="1">
      <alignment horizontal="center" vertical="center" wrapText="1"/>
    </xf>
    <xf numFmtId="2" fontId="45" fillId="3" borderId="4" xfId="59" applyNumberFormat="1" applyFont="1" applyFill="1" applyBorder="1" applyAlignment="1" applyProtection="1">
      <alignment horizontal="center" vertical="center"/>
    </xf>
    <xf numFmtId="0" fontId="0" fillId="3" borderId="1" xfId="0"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0" fontId="16" fillId="0" borderId="1" xfId="29" applyFont="1" applyFill="1" applyBorder="1" applyAlignment="1">
      <alignment horizontal="center" vertical="center" wrapText="1"/>
    </xf>
    <xf numFmtId="0" fontId="0" fillId="3" borderId="27" xfId="0" applyFont="1" applyFill="1" applyBorder="1" applyAlignment="1">
      <alignment horizontal="center" vertical="center" wrapText="1"/>
    </xf>
    <xf numFmtId="49" fontId="0" fillId="3" borderId="27" xfId="0" applyNumberFormat="1" applyFont="1" applyFill="1" applyBorder="1" applyAlignment="1">
      <alignment horizontal="center" vertical="center" wrapText="1"/>
    </xf>
    <xf numFmtId="0" fontId="45" fillId="3" borderId="3" xfId="28" applyNumberFormat="1" applyFont="1" applyFill="1" applyBorder="1" applyAlignment="1">
      <alignment horizontal="left" vertical="center" wrapText="1"/>
    </xf>
    <xf numFmtId="0" fontId="45" fillId="3" borderId="2" xfId="28" applyNumberFormat="1" applyFont="1" applyFill="1" applyBorder="1" applyAlignment="1">
      <alignment horizontal="left" vertical="center" wrapText="1"/>
    </xf>
    <xf numFmtId="172" fontId="45" fillId="3" borderId="4" xfId="65" applyNumberFormat="1" applyFont="1" applyFill="1" applyBorder="1" applyAlignment="1" applyProtection="1">
      <alignment horizontal="left" vertical="center" wrapText="1"/>
      <protection hidden="1"/>
    </xf>
    <xf numFmtId="0" fontId="44" fillId="5" borderId="5" xfId="66" applyFont="1" applyFill="1" applyBorder="1" applyAlignment="1">
      <alignment horizontal="center" vertical="center" wrapText="1"/>
    </xf>
    <xf numFmtId="0" fontId="51" fillId="5" borderId="5" xfId="66" applyFont="1" applyFill="1" applyBorder="1" applyAlignment="1">
      <alignment vertical="center" wrapText="1"/>
    </xf>
    <xf numFmtId="0" fontId="45" fillId="3" borderId="3" xfId="65" applyNumberFormat="1" applyFont="1" applyFill="1" applyBorder="1" applyAlignment="1" applyProtection="1">
      <alignment horizontal="left" vertical="center" wrapText="1"/>
      <protection hidden="1"/>
    </xf>
    <xf numFmtId="0" fontId="45" fillId="3" borderId="3" xfId="36" applyNumberFormat="1" applyFont="1" applyFill="1" applyBorder="1" applyAlignment="1">
      <alignment horizontal="center" vertical="center" wrapText="1"/>
    </xf>
    <xf numFmtId="1" fontId="45" fillId="3" borderId="3" xfId="36" applyNumberFormat="1" applyFont="1" applyFill="1" applyBorder="1" applyAlignment="1">
      <alignment horizontal="center" vertical="center" wrapText="1"/>
    </xf>
    <xf numFmtId="0" fontId="45" fillId="3" borderId="2" xfId="65" applyNumberFormat="1" applyFont="1" applyFill="1" applyBorder="1" applyAlignment="1" applyProtection="1">
      <alignment horizontal="left" vertical="center" wrapText="1"/>
      <protection hidden="1"/>
    </xf>
    <xf numFmtId="0" fontId="45" fillId="3" borderId="2" xfId="36" applyNumberFormat="1" applyFont="1" applyFill="1" applyBorder="1" applyAlignment="1">
      <alignment horizontal="center" vertical="center" wrapText="1"/>
    </xf>
    <xf numFmtId="1" fontId="45" fillId="3" borderId="2" xfId="36" applyNumberFormat="1" applyFont="1" applyFill="1" applyBorder="1" applyAlignment="1">
      <alignment horizontal="center" vertical="center" wrapText="1"/>
    </xf>
    <xf numFmtId="0" fontId="45" fillId="3" borderId="2" xfId="51" applyFont="1" applyFill="1" applyBorder="1" applyAlignment="1">
      <alignment horizontal="center" vertical="center"/>
    </xf>
    <xf numFmtId="0" fontId="45" fillId="3" borderId="2" xfId="0" applyFont="1" applyFill="1" applyBorder="1" applyAlignment="1">
      <alignment vertical="top" wrapText="1"/>
    </xf>
    <xf numFmtId="0" fontId="45" fillId="3" borderId="2" xfId="36" applyNumberFormat="1" applyFont="1" applyFill="1" applyBorder="1" applyAlignment="1">
      <alignment horizontal="center" vertical="center"/>
    </xf>
    <xf numFmtId="2" fontId="45" fillId="3" borderId="2" xfId="51" applyNumberFormat="1" applyFont="1" applyFill="1" applyBorder="1" applyAlignment="1">
      <alignment horizontal="left" vertical="center" wrapText="1"/>
    </xf>
    <xf numFmtId="0" fontId="45" fillId="3" borderId="2" xfId="36" applyNumberFormat="1" applyFont="1" applyFill="1" applyBorder="1" applyAlignment="1">
      <alignment horizontal="left"/>
    </xf>
    <xf numFmtId="0" fontId="45" fillId="3" borderId="2" xfId="45" applyNumberFormat="1" applyFont="1" applyFill="1" applyBorder="1" applyAlignment="1">
      <alignment horizontal="left" vertical="top" wrapText="1"/>
    </xf>
    <xf numFmtId="0" fontId="45" fillId="3" borderId="2" xfId="45" applyNumberFormat="1" applyFont="1" applyFill="1" applyBorder="1" applyAlignment="1">
      <alignment horizontal="center" vertical="center" wrapText="1"/>
    </xf>
    <xf numFmtId="1" fontId="45" fillId="3" borderId="2" xfId="45" applyNumberFormat="1" applyFont="1" applyFill="1" applyBorder="1" applyAlignment="1">
      <alignment horizontal="center" vertical="center" wrapText="1"/>
    </xf>
    <xf numFmtId="0" fontId="45" fillId="3" borderId="2" xfId="67" applyNumberFormat="1" applyFont="1" applyFill="1" applyBorder="1" applyAlignment="1">
      <alignment horizontal="left" vertical="center" wrapText="1"/>
    </xf>
    <xf numFmtId="49" fontId="45" fillId="3" borderId="2" xfId="47" applyNumberFormat="1" applyFont="1" applyFill="1" applyBorder="1" applyAlignment="1">
      <alignment horizontal="left" vertical="center" wrapText="1"/>
    </xf>
    <xf numFmtId="169" fontId="45" fillId="3" borderId="2" xfId="36" applyNumberFormat="1" applyFont="1" applyFill="1" applyBorder="1" applyAlignment="1">
      <alignment horizontal="center" vertical="center" wrapText="1"/>
    </xf>
    <xf numFmtId="49" fontId="45" fillId="3" borderId="4" xfId="47" applyNumberFormat="1" applyFont="1" applyFill="1" applyBorder="1" applyAlignment="1">
      <alignment horizontal="left" vertical="center" wrapText="1"/>
    </xf>
    <xf numFmtId="0" fontId="45" fillId="3" borderId="4" xfId="36" applyNumberFormat="1" applyFont="1" applyFill="1" applyBorder="1" applyAlignment="1">
      <alignment horizontal="center" vertical="center" wrapText="1"/>
    </xf>
    <xf numFmtId="169" fontId="45" fillId="3" borderId="4" xfId="36" applyNumberFormat="1" applyFont="1" applyFill="1" applyBorder="1" applyAlignment="1">
      <alignment horizontal="center" vertical="center" wrapText="1"/>
    </xf>
    <xf numFmtId="0" fontId="45" fillId="3" borderId="3" xfId="44" applyNumberFormat="1" applyFont="1" applyFill="1" applyBorder="1" applyAlignment="1">
      <alignment horizontal="left" vertical="center" wrapText="1"/>
    </xf>
    <xf numFmtId="0" fontId="45" fillId="3" borderId="2" xfId="44" applyNumberFormat="1" applyFont="1" applyFill="1" applyBorder="1" applyAlignment="1">
      <alignment horizontal="left" vertical="center" wrapText="1"/>
    </xf>
    <xf numFmtId="0" fontId="45" fillId="3" borderId="4" xfId="44" applyNumberFormat="1" applyFont="1" applyFill="1" applyBorder="1" applyAlignment="1">
      <alignment horizontal="left" vertical="center" wrapText="1"/>
    </xf>
    <xf numFmtId="0" fontId="45" fillId="3" borderId="4" xfId="36" applyNumberFormat="1" applyFont="1" applyFill="1" applyBorder="1" applyAlignment="1">
      <alignment horizontal="left"/>
    </xf>
    <xf numFmtId="0" fontId="45" fillId="3" borderId="4" xfId="36" applyNumberFormat="1" applyFont="1" applyFill="1" applyBorder="1" applyAlignment="1">
      <alignment horizontal="center" vertical="center"/>
    </xf>
    <xf numFmtId="0" fontId="44" fillId="5" borderId="5" xfId="66" applyFont="1" applyFill="1" applyBorder="1" applyAlignment="1">
      <alignment horizontal="center" vertical="center"/>
    </xf>
    <xf numFmtId="0" fontId="44" fillId="5" borderId="5" xfId="66" applyFont="1" applyFill="1" applyBorder="1" applyAlignment="1">
      <alignment vertical="center"/>
    </xf>
    <xf numFmtId="0" fontId="45" fillId="3" borderId="3" xfId="67" applyNumberFormat="1" applyFont="1" applyFill="1" applyBorder="1" applyAlignment="1">
      <alignment horizontal="left" vertical="center" wrapText="1"/>
    </xf>
    <xf numFmtId="0" fontId="45" fillId="3" borderId="3" xfId="66" applyFont="1" applyFill="1" applyBorder="1" applyAlignment="1">
      <alignment horizontal="left" vertical="center" wrapText="1"/>
    </xf>
    <xf numFmtId="0" fontId="45" fillId="3" borderId="3" xfId="66" applyFont="1" applyFill="1" applyBorder="1" applyAlignment="1">
      <alignment horizontal="center" vertical="center" wrapText="1"/>
    </xf>
    <xf numFmtId="0" fontId="45" fillId="3" borderId="3" xfId="66" applyFont="1" applyFill="1" applyBorder="1" applyAlignment="1">
      <alignment horizontal="right" vertical="center" wrapText="1"/>
    </xf>
    <xf numFmtId="0" fontId="45" fillId="3" borderId="8" xfId="65" applyNumberFormat="1" applyFont="1" applyFill="1" applyBorder="1" applyAlignment="1" applyProtection="1">
      <alignment horizontal="left" vertical="center" wrapText="1"/>
      <protection hidden="1"/>
    </xf>
    <xf numFmtId="0" fontId="45" fillId="3" borderId="8" xfId="36" applyNumberFormat="1" applyFont="1" applyFill="1" applyBorder="1" applyAlignment="1">
      <alignment horizontal="left"/>
    </xf>
    <xf numFmtId="0" fontId="45" fillId="3" borderId="8" xfId="36" applyNumberFormat="1" applyFont="1" applyFill="1" applyBorder="1" applyAlignment="1">
      <alignment horizontal="center" vertical="center"/>
    </xf>
    <xf numFmtId="2" fontId="51" fillId="5" borderId="5" xfId="66" applyNumberFormat="1" applyFont="1" applyFill="1" applyBorder="1" applyAlignment="1">
      <alignment vertical="center" wrapText="1"/>
    </xf>
    <xf numFmtId="2" fontId="45" fillId="3" borderId="3" xfId="36" applyNumberFormat="1" applyFont="1" applyFill="1" applyBorder="1" applyAlignment="1">
      <alignment horizontal="center" vertical="center" wrapText="1"/>
    </xf>
    <xf numFmtId="2" fontId="45" fillId="3" borderId="2" xfId="36" applyNumberFormat="1" applyFont="1" applyFill="1" applyBorder="1" applyAlignment="1">
      <alignment horizontal="center" vertical="center" wrapText="1"/>
    </xf>
    <xf numFmtId="2" fontId="45" fillId="3" borderId="2" xfId="36" applyNumberFormat="1" applyFont="1" applyFill="1" applyBorder="1" applyAlignment="1">
      <alignment horizontal="center" vertical="center"/>
    </xf>
    <xf numFmtId="2" fontId="45" fillId="3" borderId="2" xfId="45" applyNumberFormat="1" applyFont="1" applyFill="1" applyBorder="1" applyAlignment="1">
      <alignment horizontal="center" vertical="center" wrapText="1"/>
    </xf>
    <xf numFmtId="2" fontId="45" fillId="3" borderId="4" xfId="36" applyNumberFormat="1" applyFont="1" applyFill="1" applyBorder="1" applyAlignment="1">
      <alignment horizontal="center" vertical="center" wrapText="1"/>
    </xf>
    <xf numFmtId="2" fontId="45" fillId="3" borderId="4" xfId="36" applyNumberFormat="1" applyFont="1" applyFill="1" applyBorder="1" applyAlignment="1">
      <alignment horizontal="center" vertical="center"/>
    </xf>
    <xf numFmtId="2" fontId="44" fillId="5" borderId="5" xfId="66" applyNumberFormat="1" applyFont="1" applyFill="1" applyBorder="1" applyAlignment="1">
      <alignment vertical="center"/>
    </xf>
    <xf numFmtId="2" fontId="45" fillId="3" borderId="3" xfId="66" applyNumberFormat="1" applyFont="1" applyFill="1" applyBorder="1" applyAlignment="1">
      <alignment horizontal="center" vertical="center" wrapText="1"/>
    </xf>
    <xf numFmtId="2" fontId="45" fillId="3" borderId="8" xfId="36" applyNumberFormat="1" applyFont="1" applyFill="1" applyBorder="1" applyAlignment="1">
      <alignment horizontal="center" vertical="center"/>
    </xf>
    <xf numFmtId="0" fontId="12" fillId="3" borderId="1" xfId="54" applyFont="1" applyFill="1" applyBorder="1" applyAlignment="1">
      <alignment horizontal="left" vertical="center" wrapText="1" shrinkToFit="1"/>
    </xf>
    <xf numFmtId="0" fontId="12" fillId="3" borderId="1" xfId="0" applyFont="1" applyFill="1" applyBorder="1" applyAlignment="1">
      <alignment horizontal="center" vertical="top" wrapText="1"/>
    </xf>
    <xf numFmtId="2" fontId="12" fillId="3" borderId="1" xfId="0" applyNumberFormat="1" applyFont="1" applyFill="1" applyBorder="1" applyAlignment="1">
      <alignment horizontal="center" vertical="center" wrapText="1"/>
    </xf>
    <xf numFmtId="2" fontId="15" fillId="0" borderId="1" xfId="22" applyNumberFormat="1" applyFont="1" applyFill="1" applyBorder="1" applyAlignment="1">
      <alignment horizontal="center" vertical="center"/>
    </xf>
    <xf numFmtId="0" fontId="12" fillId="3" borderId="4" xfId="54" applyFont="1" applyFill="1" applyBorder="1" applyAlignment="1">
      <alignment horizontal="left" vertical="center" wrapText="1" shrinkToFit="1"/>
    </xf>
    <xf numFmtId="0" fontId="12" fillId="3" borderId="4" xfId="0" applyFont="1" applyFill="1" applyBorder="1" applyAlignment="1">
      <alignment horizontal="center" vertical="top" wrapText="1"/>
    </xf>
    <xf numFmtId="2" fontId="12" fillId="3" borderId="4" xfId="0" applyNumberFormat="1" applyFont="1" applyFill="1" applyBorder="1" applyAlignment="1">
      <alignment horizontal="center" vertical="center" wrapText="1"/>
    </xf>
    <xf numFmtId="0" fontId="12" fillId="7" borderId="27" xfId="54" applyFont="1" applyFill="1" applyBorder="1" applyAlignment="1">
      <alignment horizontal="left" vertical="center" wrapText="1" shrinkToFit="1"/>
    </xf>
    <xf numFmtId="0" fontId="12" fillId="7" borderId="27" xfId="0" applyFont="1" applyFill="1" applyBorder="1" applyAlignment="1">
      <alignment horizontal="center" vertical="top" wrapText="1"/>
    </xf>
    <xf numFmtId="2" fontId="12" fillId="7" borderId="27" xfId="0" applyNumberFormat="1" applyFont="1" applyFill="1" applyBorder="1" applyAlignment="1">
      <alignment horizontal="center" vertical="center" wrapText="1"/>
    </xf>
    <xf numFmtId="2" fontId="15" fillId="7" borderId="27" xfId="0" applyNumberFormat="1" applyFont="1" applyFill="1" applyBorder="1" applyAlignment="1">
      <alignment horizontal="center" vertical="center"/>
    </xf>
    <xf numFmtId="2" fontId="15" fillId="7" borderId="27" xfId="22" applyNumberFormat="1" applyFont="1" applyFill="1" applyBorder="1" applyAlignment="1">
      <alignment horizontal="center" vertical="center"/>
    </xf>
    <xf numFmtId="0" fontId="45" fillId="7" borderId="4" xfId="0" applyNumberFormat="1" applyFont="1" applyFill="1" applyBorder="1" applyAlignment="1" applyProtection="1">
      <alignment horizontal="center" vertical="center" wrapText="1"/>
    </xf>
    <xf numFmtId="0" fontId="12" fillId="7" borderId="2" xfId="54" applyFont="1" applyFill="1" applyBorder="1" applyAlignment="1">
      <alignment horizontal="left" vertical="center" wrapText="1" shrinkToFit="1"/>
    </xf>
    <xf numFmtId="0" fontId="45" fillId="7" borderId="2" xfId="0" applyNumberFormat="1" applyFont="1" applyFill="1" applyBorder="1" applyAlignment="1" applyProtection="1">
      <alignment horizontal="center" vertical="center" wrapText="1"/>
    </xf>
    <xf numFmtId="2" fontId="12" fillId="7" borderId="4" xfId="0" applyNumberFormat="1" applyFont="1" applyFill="1" applyBorder="1" applyAlignment="1">
      <alignment horizontal="center" vertical="center" wrapText="1"/>
    </xf>
    <xf numFmtId="2" fontId="15" fillId="7" borderId="4" xfId="0" applyNumberFormat="1" applyFont="1" applyFill="1" applyBorder="1" applyAlignment="1">
      <alignment horizontal="center" vertical="center"/>
    </xf>
    <xf numFmtId="2" fontId="15" fillId="7" borderId="4" xfId="22" applyNumberFormat="1" applyFont="1" applyFill="1" applyBorder="1" applyAlignment="1">
      <alignment horizontal="center" vertical="center"/>
    </xf>
    <xf numFmtId="0" fontId="12" fillId="7" borderId="4" xfId="0" applyFont="1" applyFill="1" applyBorder="1" applyAlignment="1">
      <alignment horizontal="center" vertical="top" wrapText="1"/>
    </xf>
    <xf numFmtId="0" fontId="20" fillId="4" borderId="9" xfId="0" applyFont="1" applyFill="1" applyBorder="1" applyAlignment="1">
      <alignment horizontal="center"/>
    </xf>
    <xf numFmtId="0" fontId="20" fillId="4" borderId="10" xfId="0" applyFont="1" applyFill="1" applyBorder="1" applyAlignment="1">
      <alignment horizontal="center"/>
    </xf>
    <xf numFmtId="0" fontId="20" fillId="4" borderId="11" xfId="0" applyFont="1" applyFill="1" applyBorder="1" applyAlignment="1">
      <alignment horizontal="center"/>
    </xf>
    <xf numFmtId="0" fontId="14" fillId="0" borderId="0" xfId="37" applyFont="1" applyFill="1" applyBorder="1" applyAlignment="1">
      <alignment horizontal="left" vertical="center" wrapText="1"/>
    </xf>
    <xf numFmtId="0" fontId="13" fillId="4" borderId="7" xfId="39" applyFont="1" applyFill="1" applyBorder="1" applyAlignment="1">
      <alignment horizontal="center" vertical="center" wrapText="1"/>
    </xf>
    <xf numFmtId="0" fontId="13" fillId="4" borderId="8" xfId="39" applyFont="1" applyFill="1" applyBorder="1" applyAlignment="1">
      <alignment horizontal="center" vertical="center" wrapText="1"/>
    </xf>
    <xf numFmtId="0" fontId="13" fillId="4" borderId="5" xfId="39" applyFont="1" applyFill="1" applyBorder="1" applyAlignment="1">
      <alignment horizontal="center" vertical="center" wrapText="1"/>
    </xf>
    <xf numFmtId="0" fontId="13" fillId="4" borderId="7" xfId="39" applyFont="1" applyFill="1" applyBorder="1" applyAlignment="1">
      <alignment horizontal="center" vertical="top" wrapText="1"/>
    </xf>
    <xf numFmtId="0" fontId="13" fillId="4" borderId="8" xfId="39" applyFont="1" applyFill="1" applyBorder="1" applyAlignment="1">
      <alignment horizontal="center" vertical="top" wrapText="1"/>
    </xf>
    <xf numFmtId="0" fontId="14" fillId="0" borderId="0" xfId="0" applyFont="1" applyFill="1" applyBorder="1" applyAlignment="1">
      <alignment horizontal="left" vertical="top" wrapText="1"/>
    </xf>
    <xf numFmtId="0" fontId="15" fillId="4" borderId="5" xfId="29" applyFont="1" applyFill="1" applyBorder="1" applyAlignment="1">
      <alignment horizontal="right" vertical="center" wrapText="1"/>
    </xf>
    <xf numFmtId="0" fontId="15" fillId="0" borderId="0" xfId="0" applyFont="1" applyAlignment="1">
      <alignment horizontal="left" vertical="top" wrapText="1"/>
    </xf>
    <xf numFmtId="0" fontId="15" fillId="0" borderId="0" xfId="29" applyFont="1" applyAlignment="1">
      <alignment horizontal="left" vertical="top" wrapText="1"/>
    </xf>
    <xf numFmtId="0" fontId="16" fillId="4" borderId="9" xfId="29" applyFont="1" applyFill="1" applyBorder="1" applyAlignment="1">
      <alignment horizontal="right" vertical="center" wrapText="1"/>
    </xf>
    <xf numFmtId="0" fontId="16" fillId="4" borderId="10" xfId="29" applyFont="1" applyFill="1" applyBorder="1" applyAlignment="1">
      <alignment horizontal="right" vertical="center" wrapText="1"/>
    </xf>
    <xf numFmtId="0" fontId="16" fillId="4" borderId="11" xfId="29" applyFont="1" applyFill="1" applyBorder="1" applyAlignment="1">
      <alignment horizontal="right" vertical="center" wrapText="1"/>
    </xf>
    <xf numFmtId="0" fontId="24" fillId="4" borderId="9" xfId="0" applyFont="1" applyFill="1" applyBorder="1" applyAlignment="1">
      <alignment horizontal="right" vertical="center"/>
    </xf>
    <xf numFmtId="0" fontId="24" fillId="4" borderId="10" xfId="0" applyFont="1" applyFill="1" applyBorder="1" applyAlignment="1">
      <alignment horizontal="right" vertical="center"/>
    </xf>
    <xf numFmtId="0" fontId="24" fillId="4" borderId="11" xfId="0" applyFont="1" applyFill="1" applyBorder="1" applyAlignment="1">
      <alignment horizontal="right" vertical="center"/>
    </xf>
    <xf numFmtId="0" fontId="12" fillId="0" borderId="2" xfId="0" applyFont="1" applyFill="1" applyBorder="1" applyAlignment="1">
      <alignment horizontal="left"/>
    </xf>
    <xf numFmtId="0" fontId="12" fillId="0" borderId="27" xfId="0" applyFont="1" applyFill="1" applyBorder="1" applyAlignment="1">
      <alignment horizontal="left"/>
    </xf>
    <xf numFmtId="0" fontId="15" fillId="0" borderId="0" xfId="37" applyFont="1" applyFill="1" applyAlignment="1">
      <alignment horizontal="left" vertical="center" wrapText="1"/>
    </xf>
    <xf numFmtId="0" fontId="16" fillId="4" borderId="5" xfId="29" applyFont="1" applyFill="1" applyBorder="1" applyAlignment="1">
      <alignment horizontal="center" vertical="center" wrapText="1"/>
    </xf>
    <xf numFmtId="0" fontId="20" fillId="0" borderId="0" xfId="0" applyFont="1" applyFill="1" applyBorder="1" applyAlignment="1">
      <alignment horizontal="center"/>
    </xf>
    <xf numFmtId="0" fontId="15" fillId="0" borderId="0" xfId="29" applyFont="1" applyAlignment="1">
      <alignment horizontal="right" vertical="top" wrapText="1"/>
    </xf>
    <xf numFmtId="0" fontId="15" fillId="0" borderId="16" xfId="29" applyFont="1" applyBorder="1" applyAlignment="1">
      <alignment horizontal="right" vertical="top" wrapText="1"/>
    </xf>
    <xf numFmtId="0" fontId="12" fillId="0" borderId="1" xfId="0" applyFont="1" applyFill="1" applyBorder="1" applyAlignment="1">
      <alignment horizontal="left"/>
    </xf>
    <xf numFmtId="0" fontId="20" fillId="4" borderId="9" xfId="29" applyFont="1" applyFill="1" applyBorder="1" applyAlignment="1">
      <alignment horizontal="center" vertical="center"/>
    </xf>
    <xf numFmtId="0" fontId="20" fillId="4" borderId="10" xfId="29" applyFont="1" applyFill="1" applyBorder="1" applyAlignment="1">
      <alignment horizontal="center" vertical="center"/>
    </xf>
    <xf numFmtId="0" fontId="20" fillId="4" borderId="11" xfId="29" applyFont="1" applyFill="1" applyBorder="1" applyAlignment="1">
      <alignment horizontal="center" vertical="center"/>
    </xf>
    <xf numFmtId="0" fontId="15" fillId="0" borderId="0" xfId="29" applyFont="1" applyAlignment="1">
      <alignment horizontal="left" vertical="center" wrapText="1"/>
    </xf>
    <xf numFmtId="0" fontId="16" fillId="4" borderId="12" xfId="29" applyFont="1" applyFill="1" applyBorder="1" applyAlignment="1">
      <alignment horizontal="center" vertical="center" wrapText="1"/>
    </xf>
    <xf numFmtId="0" fontId="16" fillId="4" borderId="13" xfId="29" applyFont="1" applyFill="1" applyBorder="1" applyAlignment="1">
      <alignment horizontal="center" vertical="center" wrapText="1"/>
    </xf>
    <xf numFmtId="0" fontId="16" fillId="4" borderId="14" xfId="29" applyFont="1" applyFill="1" applyBorder="1" applyAlignment="1">
      <alignment horizontal="center" vertical="center" wrapText="1"/>
    </xf>
    <xf numFmtId="0" fontId="16" fillId="4" borderId="15" xfId="29" applyFont="1" applyFill="1" applyBorder="1" applyAlignment="1">
      <alignment horizontal="center" vertical="center" wrapText="1"/>
    </xf>
    <xf numFmtId="0" fontId="13" fillId="0" borderId="0" xfId="29" applyFont="1" applyAlignment="1">
      <alignment horizontal="left" vertical="top" wrapText="1"/>
    </xf>
    <xf numFmtId="16" fontId="13" fillId="0" borderId="0" xfId="29" applyNumberFormat="1" applyFont="1" applyAlignment="1">
      <alignment horizontal="left" vertical="top" wrapText="1"/>
    </xf>
    <xf numFmtId="0" fontId="14" fillId="3" borderId="0" xfId="22" applyFont="1" applyFill="1" applyAlignment="1">
      <alignment horizontal="center" vertical="center"/>
    </xf>
    <xf numFmtId="0" fontId="13" fillId="0" borderId="0" xfId="29" applyFont="1" applyAlignment="1">
      <alignment horizontal="left" vertical="center" wrapText="1"/>
    </xf>
    <xf numFmtId="0" fontId="35" fillId="3" borderId="0" xfId="22" applyFont="1" applyFill="1" applyAlignment="1">
      <alignment horizontal="center" vertical="center"/>
    </xf>
    <xf numFmtId="0" fontId="15" fillId="0" borderId="0" xfId="0" applyFont="1" applyAlignment="1">
      <alignment horizontal="center"/>
    </xf>
    <xf numFmtId="0" fontId="30" fillId="4" borderId="5" xfId="22" applyFont="1" applyFill="1" applyBorder="1" applyAlignment="1">
      <alignment horizontal="center" vertical="center" textRotation="90"/>
    </xf>
    <xf numFmtId="0" fontId="30" fillId="4" borderId="7" xfId="22" applyFont="1" applyFill="1" applyBorder="1" applyAlignment="1">
      <alignment horizontal="center" vertical="center" textRotation="90"/>
    </xf>
    <xf numFmtId="0" fontId="30" fillId="4" borderId="8" xfId="22" applyFont="1" applyFill="1" applyBorder="1" applyAlignment="1">
      <alignment horizontal="center" vertical="center" textRotation="90"/>
    </xf>
    <xf numFmtId="0" fontId="30" fillId="4" borderId="5" xfId="22" applyFont="1" applyFill="1" applyBorder="1" applyAlignment="1">
      <alignment horizontal="center" vertical="center" wrapText="1"/>
    </xf>
    <xf numFmtId="0" fontId="30" fillId="4" borderId="5" xfId="22" applyFont="1" applyFill="1" applyBorder="1" applyAlignment="1">
      <alignment horizontal="center" vertical="center" textRotation="90" wrapText="1"/>
    </xf>
    <xf numFmtId="2" fontId="30" fillId="4" borderId="5" xfId="22" applyNumberFormat="1" applyFont="1" applyFill="1" applyBorder="1" applyAlignment="1">
      <alignment horizontal="center" vertical="center" textRotation="90"/>
    </xf>
    <xf numFmtId="0" fontId="21" fillId="0" borderId="17" xfId="20" applyFont="1" applyFill="1" applyBorder="1" applyAlignment="1">
      <alignment horizontal="left" vertical="center" wrapText="1"/>
    </xf>
    <xf numFmtId="0" fontId="12" fillId="0" borderId="0" xfId="0" applyFont="1" applyFill="1" applyAlignment="1">
      <alignment horizontal="left" vertical="center" wrapText="1"/>
    </xf>
    <xf numFmtId="0" fontId="15" fillId="0" borderId="0" xfId="0" applyFont="1" applyBorder="1" applyAlignment="1">
      <alignment horizontal="center" vertical="top" wrapText="1"/>
    </xf>
    <xf numFmtId="0" fontId="30" fillId="4" borderId="5" xfId="22" applyFont="1" applyFill="1" applyBorder="1" applyAlignment="1">
      <alignment horizontal="center" vertical="center"/>
    </xf>
    <xf numFmtId="0" fontId="22" fillId="0" borderId="0" xfId="23" applyFont="1" applyAlignment="1">
      <alignment horizontal="left"/>
    </xf>
    <xf numFmtId="4" fontId="44" fillId="4" borderId="5" xfId="58" applyNumberFormat="1" applyFont="1" applyFill="1" applyBorder="1" applyAlignment="1">
      <alignment horizontal="right"/>
    </xf>
    <xf numFmtId="0" fontId="35" fillId="0" borderId="0" xfId="22" applyFont="1" applyAlignment="1">
      <alignment horizontal="center" vertical="center"/>
    </xf>
    <xf numFmtId="0" fontId="16" fillId="4" borderId="5" xfId="22" applyFont="1" applyFill="1" applyBorder="1" applyAlignment="1">
      <alignment horizontal="center" vertical="center"/>
    </xf>
    <xf numFmtId="0" fontId="16" fillId="4" borderId="5" xfId="22" applyFont="1" applyFill="1" applyBorder="1" applyAlignment="1">
      <alignment horizontal="center" vertical="center" textRotation="90"/>
    </xf>
    <xf numFmtId="0" fontId="16" fillId="4" borderId="7" xfId="22" applyFont="1" applyFill="1" applyBorder="1" applyAlignment="1">
      <alignment horizontal="center" vertical="center" textRotation="90"/>
    </xf>
    <xf numFmtId="0" fontId="16" fillId="4" borderId="8" xfId="22" applyFont="1" applyFill="1" applyBorder="1" applyAlignment="1">
      <alignment horizontal="center" vertical="center" textRotation="90"/>
    </xf>
    <xf numFmtId="0" fontId="16" fillId="4" borderId="5" xfId="22" applyFont="1" applyFill="1" applyBorder="1" applyAlignment="1">
      <alignment horizontal="center" vertical="center" wrapText="1"/>
    </xf>
    <xf numFmtId="0" fontId="16" fillId="4" borderId="5" xfId="22" applyFont="1" applyFill="1" applyBorder="1" applyAlignment="1">
      <alignment horizontal="center" vertical="center" textRotation="90" wrapText="1"/>
    </xf>
    <xf numFmtId="2" fontId="16" fillId="4" borderId="5" xfId="22" applyNumberFormat="1" applyFont="1" applyFill="1" applyBorder="1" applyAlignment="1">
      <alignment horizontal="center" vertical="center" textRotation="90"/>
    </xf>
    <xf numFmtId="0" fontId="14" fillId="3" borderId="0" xfId="0" applyFont="1" applyFill="1" applyBorder="1" applyAlignment="1">
      <alignment horizontal="center" vertical="center"/>
    </xf>
    <xf numFmtId="0" fontId="12" fillId="0" borderId="0" xfId="0" applyFont="1" applyAlignment="1">
      <alignment horizontal="center"/>
    </xf>
    <xf numFmtId="0" fontId="12" fillId="0" borderId="0" xfId="0" applyFont="1" applyBorder="1" applyAlignment="1">
      <alignment horizontal="center" vertical="top" wrapText="1"/>
    </xf>
    <xf numFmtId="0" fontId="22" fillId="0" borderId="0" xfId="23" applyFont="1" applyAlignment="1">
      <alignment horizontal="left" vertical="center"/>
    </xf>
    <xf numFmtId="0" fontId="22" fillId="0" borderId="0" xfId="23" applyFont="1" applyAlignment="1">
      <alignment horizontal="center" vertical="center"/>
    </xf>
    <xf numFmtId="4" fontId="41" fillId="4" borderId="5" xfId="58" applyNumberFormat="1" applyFont="1" applyFill="1" applyBorder="1" applyAlignment="1">
      <alignment horizontal="right"/>
    </xf>
    <xf numFmtId="0" fontId="15" fillId="0" borderId="0" xfId="0" applyFont="1" applyBorder="1" applyAlignment="1">
      <alignment horizontal="left" vertical="top" wrapText="1"/>
    </xf>
    <xf numFmtId="0" fontId="15" fillId="0" borderId="0" xfId="23" applyFont="1" applyAlignment="1">
      <alignment horizontal="left" vertical="center"/>
    </xf>
    <xf numFmtId="0" fontId="15" fillId="0" borderId="0" xfId="0" applyFont="1" applyFill="1" applyAlignment="1">
      <alignment horizontal="left" vertical="center" wrapText="1"/>
    </xf>
    <xf numFmtId="0" fontId="16" fillId="0" borderId="17" xfId="20" applyFont="1" applyFill="1" applyBorder="1" applyAlignment="1">
      <alignment horizontal="left" vertical="center" wrapText="1"/>
    </xf>
    <xf numFmtId="0" fontId="14" fillId="0" borderId="0" xfId="22" applyFont="1" applyAlignment="1">
      <alignment horizontal="center" vertical="center"/>
    </xf>
    <xf numFmtId="0" fontId="15" fillId="0" borderId="0" xfId="23" applyFont="1" applyAlignment="1">
      <alignment horizontal="center" vertical="center"/>
    </xf>
    <xf numFmtId="0" fontId="20" fillId="4" borderId="9" xfId="29" applyFont="1" applyFill="1" applyBorder="1" applyAlignment="1">
      <alignment horizontal="center"/>
    </xf>
    <xf numFmtId="0" fontId="20" fillId="4" borderId="10" xfId="29" applyFont="1" applyFill="1" applyBorder="1" applyAlignment="1">
      <alignment horizontal="center"/>
    </xf>
    <xf numFmtId="0" fontId="20" fillId="4" borderId="11" xfId="29" applyFont="1" applyFill="1" applyBorder="1" applyAlignment="1">
      <alignment horizontal="center"/>
    </xf>
    <xf numFmtId="0" fontId="12" fillId="3" borderId="27" xfId="0" applyFont="1" applyFill="1" applyBorder="1" applyAlignment="1">
      <alignment horizontal="left" vertical="center"/>
    </xf>
    <xf numFmtId="0" fontId="12" fillId="3" borderId="2"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5" fillId="4" borderId="9" xfId="29" applyFont="1" applyFill="1" applyBorder="1" applyAlignment="1">
      <alignment horizontal="right" vertical="center" wrapText="1"/>
    </xf>
    <xf numFmtId="0" fontId="15" fillId="4" borderId="10" xfId="29" applyFont="1" applyFill="1" applyBorder="1" applyAlignment="1">
      <alignment horizontal="right" vertical="center" wrapText="1"/>
    </xf>
    <xf numFmtId="0" fontId="15" fillId="4" borderId="11" xfId="29" applyFont="1" applyFill="1" applyBorder="1" applyAlignment="1">
      <alignment horizontal="right" vertical="center" wrapText="1"/>
    </xf>
    <xf numFmtId="0" fontId="14" fillId="0" borderId="0" xfId="22" applyFont="1" applyFill="1" applyAlignment="1">
      <alignment horizontal="center" vertical="center"/>
    </xf>
    <xf numFmtId="0" fontId="16" fillId="4" borderId="7" xfId="22" applyFont="1" applyFill="1" applyBorder="1" applyAlignment="1">
      <alignment horizontal="center" vertical="center" textRotation="90" wrapText="1"/>
    </xf>
    <xf numFmtId="0" fontId="16" fillId="4" borderId="8" xfId="22" applyFont="1" applyFill="1" applyBorder="1" applyAlignment="1">
      <alignment horizontal="center" vertical="center" textRotation="90" wrapText="1"/>
    </xf>
    <xf numFmtId="0" fontId="21" fillId="4" borderId="5" xfId="22" applyFont="1" applyFill="1" applyBorder="1" applyAlignment="1">
      <alignment horizontal="center" vertical="center" textRotation="90" wrapText="1"/>
    </xf>
    <xf numFmtId="0" fontId="21" fillId="4" borderId="5" xfId="22" applyFont="1" applyFill="1" applyBorder="1" applyAlignment="1">
      <alignment horizontal="center" vertical="center" textRotation="90"/>
    </xf>
    <xf numFmtId="0" fontId="21" fillId="4" borderId="7" xfId="22" applyFont="1" applyFill="1" applyBorder="1" applyAlignment="1">
      <alignment horizontal="center" vertical="center" textRotation="90"/>
    </xf>
    <xf numFmtId="0" fontId="21" fillId="4" borderId="8" xfId="22" applyFont="1" applyFill="1" applyBorder="1" applyAlignment="1">
      <alignment horizontal="center" vertical="center" textRotation="90"/>
    </xf>
    <xf numFmtId="0" fontId="21" fillId="4" borderId="5" xfId="22" applyFont="1" applyFill="1" applyBorder="1" applyAlignment="1">
      <alignment horizontal="center" vertical="center"/>
    </xf>
    <xf numFmtId="2" fontId="21" fillId="4" borderId="5" xfId="22" applyNumberFormat="1" applyFont="1" applyFill="1" applyBorder="1" applyAlignment="1">
      <alignment horizontal="center" vertical="center" textRotation="90"/>
    </xf>
    <xf numFmtId="0" fontId="21" fillId="4" borderId="5" xfId="22" applyFont="1" applyFill="1" applyBorder="1" applyAlignment="1">
      <alignment horizontal="center" vertical="center" wrapText="1"/>
    </xf>
    <xf numFmtId="4" fontId="44" fillId="4" borderId="7" xfId="58" applyNumberFormat="1" applyFont="1" applyFill="1" applyBorder="1" applyAlignment="1">
      <alignment horizontal="right"/>
    </xf>
    <xf numFmtId="0" fontId="21" fillId="0" borderId="0" xfId="20" applyFont="1" applyFill="1" applyBorder="1" applyAlignment="1">
      <alignment horizontal="left" vertical="center" wrapText="1"/>
    </xf>
    <xf numFmtId="0" fontId="16" fillId="6" borderId="5" xfId="22" applyFont="1" applyFill="1" applyBorder="1" applyAlignment="1">
      <alignment horizontal="center" vertical="center"/>
    </xf>
    <xf numFmtId="0" fontId="16" fillId="6" borderId="5" xfId="22" applyFont="1" applyFill="1" applyBorder="1" applyAlignment="1">
      <alignment horizontal="center" vertical="center" textRotation="90"/>
    </xf>
    <xf numFmtId="0" fontId="16" fillId="6" borderId="7" xfId="22" applyFont="1" applyFill="1" applyBorder="1" applyAlignment="1">
      <alignment horizontal="center" vertical="center" textRotation="90"/>
    </xf>
    <xf numFmtId="0" fontId="16" fillId="6" borderId="8" xfId="22" applyFont="1" applyFill="1" applyBorder="1" applyAlignment="1">
      <alignment horizontal="center" vertical="center" textRotation="90"/>
    </xf>
    <xf numFmtId="0" fontId="16" fillId="6" borderId="5" xfId="22" applyFont="1" applyFill="1" applyBorder="1" applyAlignment="1">
      <alignment horizontal="center" vertical="center" wrapText="1"/>
    </xf>
    <xf numFmtId="0" fontId="16" fillId="6" borderId="5" xfId="22" applyFont="1" applyFill="1" applyBorder="1" applyAlignment="1">
      <alignment horizontal="center" vertical="center" textRotation="90" wrapText="1"/>
    </xf>
    <xf numFmtId="0" fontId="21" fillId="4" borderId="7" xfId="22" applyFont="1" applyFill="1" applyBorder="1" applyAlignment="1">
      <alignment horizontal="center" vertical="center" textRotation="90" wrapText="1"/>
    </xf>
    <xf numFmtId="0" fontId="21" fillId="4" borderId="8" xfId="22" applyFont="1" applyFill="1" applyBorder="1" applyAlignment="1">
      <alignment horizontal="center" vertical="center" textRotation="90" wrapText="1"/>
    </xf>
    <xf numFmtId="0" fontId="12" fillId="0" borderId="5" xfId="0" applyFont="1" applyFill="1" applyBorder="1" applyAlignment="1">
      <alignment horizontal="left" vertical="center"/>
    </xf>
    <xf numFmtId="0" fontId="0" fillId="3" borderId="27" xfId="0" applyFont="1" applyFill="1" applyBorder="1" applyAlignment="1">
      <alignment horizontal="left" vertical="center"/>
    </xf>
    <xf numFmtId="0" fontId="0" fillId="3" borderId="1" xfId="0" applyFont="1" applyFill="1" applyBorder="1" applyAlignment="1">
      <alignment horizontal="left" vertical="center"/>
    </xf>
    <xf numFmtId="0" fontId="16" fillId="4" borderId="9" xfId="22" applyFont="1" applyFill="1" applyBorder="1" applyAlignment="1">
      <alignment horizontal="center" vertical="center"/>
    </xf>
    <xf numFmtId="0" fontId="16" fillId="4" borderId="10" xfId="22" applyFont="1" applyFill="1" applyBorder="1" applyAlignment="1">
      <alignment horizontal="center" vertical="center"/>
    </xf>
    <xf numFmtId="0" fontId="16" fillId="4" borderId="11" xfId="22" applyFont="1" applyFill="1" applyBorder="1" applyAlignment="1">
      <alignment horizontal="center" vertical="center"/>
    </xf>
    <xf numFmtId="0" fontId="16" fillId="4" borderId="7" xfId="22" applyFont="1" applyFill="1" applyBorder="1" applyAlignment="1">
      <alignment horizontal="center" vertical="center" wrapText="1"/>
    </xf>
    <xf numFmtId="0" fontId="16" fillId="4" borderId="8" xfId="22" applyFont="1" applyFill="1" applyBorder="1" applyAlignment="1">
      <alignment horizontal="center" vertical="center" wrapText="1"/>
    </xf>
    <xf numFmtId="0" fontId="14" fillId="3" borderId="0" xfId="0" applyFont="1" applyFill="1" applyBorder="1" applyAlignment="1">
      <alignment horizontal="center" vertical="center" wrapText="1"/>
    </xf>
    <xf numFmtId="0" fontId="45" fillId="7" borderId="7" xfId="0" applyNumberFormat="1" applyFont="1" applyFill="1" applyBorder="1" applyAlignment="1" applyProtection="1">
      <alignment horizontal="center" vertical="center" wrapText="1"/>
    </xf>
    <xf numFmtId="0" fontId="45" fillId="7" borderId="7" xfId="0" applyFont="1" applyFill="1" applyBorder="1" applyAlignment="1">
      <alignment horizontal="left" vertical="center" wrapText="1"/>
    </xf>
    <xf numFmtId="49" fontId="45" fillId="7" borderId="7" xfId="0" applyNumberFormat="1" applyFont="1" applyFill="1" applyBorder="1" applyAlignment="1">
      <alignment horizontal="center" vertical="center"/>
    </xf>
    <xf numFmtId="2" fontId="45" fillId="7" borderId="7" xfId="0" applyNumberFormat="1" applyFont="1" applyFill="1" applyBorder="1" applyAlignment="1">
      <alignment horizontal="center" vertical="center" wrapText="1"/>
    </xf>
    <xf numFmtId="0" fontId="15" fillId="7" borderId="6" xfId="48" applyFont="1" applyFill="1" applyBorder="1" applyAlignment="1">
      <alignment horizontal="center" vertical="center"/>
    </xf>
    <xf numFmtId="2" fontId="15" fillId="7" borderId="6" xfId="0" applyNumberFormat="1" applyFont="1" applyFill="1" applyBorder="1" applyAlignment="1">
      <alignment horizontal="center" vertical="center" wrapText="1"/>
    </xf>
    <xf numFmtId="2" fontId="15" fillId="7" borderId="6" xfId="0" applyNumberFormat="1" applyFont="1" applyFill="1" applyBorder="1" applyAlignment="1">
      <alignment horizontal="center" vertical="center"/>
    </xf>
    <xf numFmtId="2" fontId="15" fillId="7" borderId="6" xfId="48" applyNumberFormat="1" applyFont="1" applyFill="1" applyBorder="1" applyAlignment="1">
      <alignment horizontal="center" vertical="center"/>
    </xf>
    <xf numFmtId="4" fontId="15" fillId="7" borderId="6" xfId="0" applyNumberFormat="1" applyFont="1" applyFill="1" applyBorder="1" applyAlignment="1">
      <alignment horizontal="center" vertical="center"/>
    </xf>
  </cellXfs>
  <cellStyles count="68">
    <cellStyle name="Comma" xfId="59" builtinId="3"/>
    <cellStyle name="Comma 2" xfId="1" xr:uid="{00000000-0005-0000-0000-000001000000}"/>
    <cellStyle name="Comma 2 2" xfId="2" xr:uid="{00000000-0005-0000-0000-000002000000}"/>
    <cellStyle name="Comma 2 3" xfId="3" xr:uid="{00000000-0005-0000-0000-000003000000}"/>
    <cellStyle name="Comma 2 3 2" xfId="4" xr:uid="{00000000-0005-0000-0000-000004000000}"/>
    <cellStyle name="Comma 3" xfId="5" xr:uid="{00000000-0005-0000-0000-000005000000}"/>
    <cellStyle name="Comma 4" xfId="6" xr:uid="{00000000-0005-0000-0000-000006000000}"/>
    <cellStyle name="Comma 5" xfId="7" xr:uid="{00000000-0005-0000-0000-000007000000}"/>
    <cellStyle name="Comma 5 2" xfId="8" xr:uid="{00000000-0005-0000-0000-000008000000}"/>
    <cellStyle name="Date" xfId="9" xr:uid="{00000000-0005-0000-0000-000009000000}"/>
    <cellStyle name="Excel Built-in Normal" xfId="10" xr:uid="{00000000-0005-0000-0000-00000A000000}"/>
    <cellStyle name="Fixed" xfId="11" xr:uid="{00000000-0005-0000-0000-00000B000000}"/>
    <cellStyle name="Heading1" xfId="12" xr:uid="{00000000-0005-0000-0000-00000C000000}"/>
    <cellStyle name="Heading2" xfId="13" xr:uid="{00000000-0005-0000-0000-00000D000000}"/>
    <cellStyle name="Normal" xfId="0" builtinId="0"/>
    <cellStyle name="Normal 10" xfId="14" xr:uid="{00000000-0005-0000-0000-00000F000000}"/>
    <cellStyle name="Normal 10 2" xfId="15" xr:uid="{00000000-0005-0000-0000-000010000000}"/>
    <cellStyle name="Normal 10 3" xfId="16" xr:uid="{00000000-0005-0000-0000-000011000000}"/>
    <cellStyle name="Normal 10 3 2" xfId="17" xr:uid="{00000000-0005-0000-0000-000012000000}"/>
    <cellStyle name="Normal 10 3 3" xfId="18" xr:uid="{00000000-0005-0000-0000-000013000000}"/>
    <cellStyle name="Normal 10 3 4" xfId="19" xr:uid="{00000000-0005-0000-0000-000014000000}"/>
    <cellStyle name="Normal 10 4" xfId="20" xr:uid="{00000000-0005-0000-0000-000015000000}"/>
    <cellStyle name="Normal 11" xfId="21" xr:uid="{00000000-0005-0000-0000-000016000000}"/>
    <cellStyle name="Normal 12" xfId="22" xr:uid="{00000000-0005-0000-0000-000017000000}"/>
    <cellStyle name="Normal 12 2" xfId="23" xr:uid="{00000000-0005-0000-0000-000018000000}"/>
    <cellStyle name="Normal 12 3 2" xfId="24" xr:uid="{00000000-0005-0000-0000-000019000000}"/>
    <cellStyle name="Normal 14" xfId="67" xr:uid="{00000000-0005-0000-0000-00001A000000}"/>
    <cellStyle name="Normal 15" xfId="25" xr:uid="{00000000-0005-0000-0000-00001B000000}"/>
    <cellStyle name="Normal 15 2" xfId="26" xr:uid="{00000000-0005-0000-0000-00001C000000}"/>
    <cellStyle name="Normal 15 3" xfId="27" xr:uid="{00000000-0005-0000-0000-00001D000000}"/>
    <cellStyle name="Normal 2" xfId="28" xr:uid="{00000000-0005-0000-0000-00001E000000}"/>
    <cellStyle name="Normal 2 2" xfId="29" xr:uid="{00000000-0005-0000-0000-00001F000000}"/>
    <cellStyle name="Normal 2 2 2" xfId="30" xr:uid="{00000000-0005-0000-0000-000020000000}"/>
    <cellStyle name="Normal 2 2_OlainesPP_Magonite_08_12_1(no groz)" xfId="31" xr:uid="{00000000-0005-0000-0000-000021000000}"/>
    <cellStyle name="Normal 2 3" xfId="32" xr:uid="{00000000-0005-0000-0000-000022000000}"/>
    <cellStyle name="Normal 2 3 2" xfId="33" xr:uid="{00000000-0005-0000-0000-000023000000}"/>
    <cellStyle name="Normal 3" xfId="34" xr:uid="{00000000-0005-0000-0000-000024000000}"/>
    <cellStyle name="Normal 4" xfId="35" xr:uid="{00000000-0005-0000-0000-000025000000}"/>
    <cellStyle name="Normal 5" xfId="36" xr:uid="{00000000-0005-0000-0000-000026000000}"/>
    <cellStyle name="Normal 5 2" xfId="37" xr:uid="{00000000-0005-0000-0000-000027000000}"/>
    <cellStyle name="Normal 5 2 2" xfId="38" xr:uid="{00000000-0005-0000-0000-000028000000}"/>
    <cellStyle name="Normal 5 2 3" xfId="39" xr:uid="{00000000-0005-0000-0000-000029000000}"/>
    <cellStyle name="Normal 5 3" xfId="40" xr:uid="{00000000-0005-0000-0000-00002A000000}"/>
    <cellStyle name="Normal 5 4" xfId="41" xr:uid="{00000000-0005-0000-0000-00002B000000}"/>
    <cellStyle name="Normal 6" xfId="42" xr:uid="{00000000-0005-0000-0000-00002C000000}"/>
    <cellStyle name="Normal 7" xfId="43" xr:uid="{00000000-0005-0000-0000-00002D000000}"/>
    <cellStyle name="Normal 7 2" xfId="61" xr:uid="{00000000-0005-0000-0000-00002E000000}"/>
    <cellStyle name="Normal 8" xfId="44" xr:uid="{00000000-0005-0000-0000-00002F000000}"/>
    <cellStyle name="Normal 9" xfId="45" xr:uid="{00000000-0005-0000-0000-000030000000}"/>
    <cellStyle name="Normal_1_V39 2.600 - 6.440 km" xfId="65" xr:uid="{00000000-0005-0000-0000-000031000000}"/>
    <cellStyle name="Normal_501-06tames forma" xfId="58" xr:uid="{00000000-0005-0000-0000-000032000000}"/>
    <cellStyle name="Normal_9908m" xfId="46" xr:uid="{00000000-0005-0000-0000-000033000000}"/>
    <cellStyle name="Normal_9908m 2" xfId="62" xr:uid="{00000000-0005-0000-0000-000034000000}"/>
    <cellStyle name="Normal_Bill x.1" xfId="47" xr:uid="{00000000-0005-0000-0000-000035000000}"/>
    <cellStyle name="Normal_Būvdarbi" xfId="48" xr:uid="{00000000-0005-0000-0000-000036000000}"/>
    <cellStyle name="Normal_Cakstes_bulvaris_1" xfId="60" xr:uid="{00000000-0005-0000-0000-000037000000}"/>
    <cellStyle name="Normal_Dz.Nr1" xfId="49" xr:uid="{00000000-0005-0000-0000-000038000000}"/>
    <cellStyle name="Normal_Excel_Template_4" xfId="63" xr:uid="{00000000-0005-0000-0000-000039000000}"/>
    <cellStyle name="Normal_Ford tame new" xfId="50" xr:uid="{00000000-0005-0000-0000-00003A000000}"/>
    <cellStyle name="Normal_RS_spec_vent_17.05" xfId="51" xr:uid="{00000000-0005-0000-0000-00003B000000}"/>
    <cellStyle name="Normal_SandisP_rem_07" xfId="52" xr:uid="{00000000-0005-0000-0000-00003C000000}"/>
    <cellStyle name="Normal_Sheet1" xfId="53" xr:uid="{00000000-0005-0000-0000-00003D000000}"/>
    <cellStyle name="Normal_tame" xfId="57" xr:uid="{00000000-0005-0000-0000-00003E000000}"/>
    <cellStyle name="Normal_TD15" xfId="64" xr:uid="{00000000-0005-0000-0000-00003F000000}"/>
    <cellStyle name="Normal_Vestienas un  Pildas ielas" xfId="66" xr:uid="{00000000-0005-0000-0000-000040000000}"/>
    <cellStyle name="Style 1" xfId="54" xr:uid="{00000000-0005-0000-0000-000041000000}"/>
    <cellStyle name="Обычный_Jelgava 1.internatskola tame (version 1)" xfId="55" xr:uid="{00000000-0005-0000-0000-000042000000}"/>
    <cellStyle name="Стиль 1" xfId="56" xr:uid="{00000000-0005-0000-0000-000043000000}"/>
  </cellStyles>
  <dxfs count="1">
    <dxf>
      <font>
        <condense val="0"/>
        <extend val="0"/>
        <color indexed="5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3</xdr:col>
      <xdr:colOff>335280</xdr:colOff>
      <xdr:row>39</xdr:row>
      <xdr:rowOff>0</xdr:rowOff>
    </xdr:from>
    <xdr:to>
      <xdr:col>3</xdr:col>
      <xdr:colOff>411480</xdr:colOff>
      <xdr:row>39</xdr:row>
      <xdr:rowOff>152400</xdr:rowOff>
    </xdr:to>
    <xdr:sp macro="" textlink="">
      <xdr:nvSpPr>
        <xdr:cNvPr id="5" name="Text Box 11446">
          <a:extLst>
            <a:ext uri="{FF2B5EF4-FFF2-40B4-BE49-F238E27FC236}">
              <a16:creationId xmlns:a16="http://schemas.microsoft.com/office/drawing/2014/main" id="{00000000-0008-0000-0200-000005000000}"/>
            </a:ext>
          </a:extLst>
        </xdr:cNvPr>
        <xdr:cNvSpPr txBox="1">
          <a:spLocks noChangeArrowheads="1"/>
        </xdr:cNvSpPr>
      </xdr:nvSpPr>
      <xdr:spPr bwMode="auto">
        <a:xfrm>
          <a:off x="3596640" y="676656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39</xdr:row>
      <xdr:rowOff>0</xdr:rowOff>
    </xdr:from>
    <xdr:to>
      <xdr:col>3</xdr:col>
      <xdr:colOff>411480</xdr:colOff>
      <xdr:row>39</xdr:row>
      <xdr:rowOff>152400</xdr:rowOff>
    </xdr:to>
    <xdr:sp macro="" textlink="">
      <xdr:nvSpPr>
        <xdr:cNvPr id="6" name="Text Box 11446">
          <a:extLst>
            <a:ext uri="{FF2B5EF4-FFF2-40B4-BE49-F238E27FC236}">
              <a16:creationId xmlns:a16="http://schemas.microsoft.com/office/drawing/2014/main" id="{00000000-0008-0000-0200-000006000000}"/>
            </a:ext>
          </a:extLst>
        </xdr:cNvPr>
        <xdr:cNvSpPr txBox="1">
          <a:spLocks noChangeArrowheads="1"/>
        </xdr:cNvSpPr>
      </xdr:nvSpPr>
      <xdr:spPr bwMode="auto">
        <a:xfrm>
          <a:off x="3596640" y="676656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39</xdr:row>
      <xdr:rowOff>0</xdr:rowOff>
    </xdr:from>
    <xdr:to>
      <xdr:col>3</xdr:col>
      <xdr:colOff>411480</xdr:colOff>
      <xdr:row>39</xdr:row>
      <xdr:rowOff>152400</xdr:rowOff>
    </xdr:to>
    <xdr:sp macro="" textlink="">
      <xdr:nvSpPr>
        <xdr:cNvPr id="7" name="Text Box 11446">
          <a:extLst>
            <a:ext uri="{FF2B5EF4-FFF2-40B4-BE49-F238E27FC236}">
              <a16:creationId xmlns:a16="http://schemas.microsoft.com/office/drawing/2014/main" id="{00000000-0008-0000-0200-000007000000}"/>
            </a:ext>
          </a:extLst>
        </xdr:cNvPr>
        <xdr:cNvSpPr txBox="1">
          <a:spLocks noChangeArrowheads="1"/>
        </xdr:cNvSpPr>
      </xdr:nvSpPr>
      <xdr:spPr bwMode="auto">
        <a:xfrm>
          <a:off x="3596640" y="676656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335280</xdr:colOff>
      <xdr:row>67</xdr:row>
      <xdr:rowOff>0</xdr:rowOff>
    </xdr:from>
    <xdr:to>
      <xdr:col>3</xdr:col>
      <xdr:colOff>411480</xdr:colOff>
      <xdr:row>67</xdr:row>
      <xdr:rowOff>152400</xdr:rowOff>
    </xdr:to>
    <xdr:sp macro="" textlink="">
      <xdr:nvSpPr>
        <xdr:cNvPr id="2" name="Text Box 11446">
          <a:extLst>
            <a:ext uri="{FF2B5EF4-FFF2-40B4-BE49-F238E27FC236}">
              <a16:creationId xmlns:a16="http://schemas.microsoft.com/office/drawing/2014/main" id="{00000000-0008-0000-0B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67</xdr:row>
      <xdr:rowOff>0</xdr:rowOff>
    </xdr:from>
    <xdr:to>
      <xdr:col>3</xdr:col>
      <xdr:colOff>411480</xdr:colOff>
      <xdr:row>67</xdr:row>
      <xdr:rowOff>152400</xdr:rowOff>
    </xdr:to>
    <xdr:sp macro="" textlink="">
      <xdr:nvSpPr>
        <xdr:cNvPr id="3" name="Text Box 11446">
          <a:extLst>
            <a:ext uri="{FF2B5EF4-FFF2-40B4-BE49-F238E27FC236}">
              <a16:creationId xmlns:a16="http://schemas.microsoft.com/office/drawing/2014/main" id="{00000000-0008-0000-0B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67</xdr:row>
      <xdr:rowOff>0</xdr:rowOff>
    </xdr:from>
    <xdr:to>
      <xdr:col>3</xdr:col>
      <xdr:colOff>411480</xdr:colOff>
      <xdr:row>67</xdr:row>
      <xdr:rowOff>152400</xdr:rowOff>
    </xdr:to>
    <xdr:sp macro="" textlink="">
      <xdr:nvSpPr>
        <xdr:cNvPr id="4" name="Text Box 11446">
          <a:extLst>
            <a:ext uri="{FF2B5EF4-FFF2-40B4-BE49-F238E27FC236}">
              <a16:creationId xmlns:a16="http://schemas.microsoft.com/office/drawing/2014/main" id="{00000000-0008-0000-0B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335280</xdr:colOff>
      <xdr:row>0</xdr:row>
      <xdr:rowOff>0</xdr:rowOff>
    </xdr:from>
    <xdr:to>
      <xdr:col>3</xdr:col>
      <xdr:colOff>411480</xdr:colOff>
      <xdr:row>0</xdr:row>
      <xdr:rowOff>152400</xdr:rowOff>
    </xdr:to>
    <xdr:sp macro="" textlink="">
      <xdr:nvSpPr>
        <xdr:cNvPr id="5" name="Text Box 11446">
          <a:extLst>
            <a:ext uri="{FF2B5EF4-FFF2-40B4-BE49-F238E27FC236}">
              <a16:creationId xmlns:a16="http://schemas.microsoft.com/office/drawing/2014/main" id="{00000000-0008-0000-0C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0</xdr:row>
      <xdr:rowOff>0</xdr:rowOff>
    </xdr:from>
    <xdr:to>
      <xdr:col>3</xdr:col>
      <xdr:colOff>411480</xdr:colOff>
      <xdr:row>0</xdr:row>
      <xdr:rowOff>152400</xdr:rowOff>
    </xdr:to>
    <xdr:sp macro="" textlink="">
      <xdr:nvSpPr>
        <xdr:cNvPr id="6" name="Text Box 11446">
          <a:extLst>
            <a:ext uri="{FF2B5EF4-FFF2-40B4-BE49-F238E27FC236}">
              <a16:creationId xmlns:a16="http://schemas.microsoft.com/office/drawing/2014/main" id="{00000000-0008-0000-0C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0</xdr:row>
      <xdr:rowOff>0</xdr:rowOff>
    </xdr:from>
    <xdr:to>
      <xdr:col>3</xdr:col>
      <xdr:colOff>411480</xdr:colOff>
      <xdr:row>0</xdr:row>
      <xdr:rowOff>152400</xdr:rowOff>
    </xdr:to>
    <xdr:sp macro="" textlink="">
      <xdr:nvSpPr>
        <xdr:cNvPr id="7" name="Text Box 11446">
          <a:extLst>
            <a:ext uri="{FF2B5EF4-FFF2-40B4-BE49-F238E27FC236}">
              <a16:creationId xmlns:a16="http://schemas.microsoft.com/office/drawing/2014/main" id="{00000000-0008-0000-0C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121</xdr:row>
      <xdr:rowOff>0</xdr:rowOff>
    </xdr:from>
    <xdr:to>
      <xdr:col>3</xdr:col>
      <xdr:colOff>411480</xdr:colOff>
      <xdr:row>121</xdr:row>
      <xdr:rowOff>152400</xdr:rowOff>
    </xdr:to>
    <xdr:sp macro="" textlink="">
      <xdr:nvSpPr>
        <xdr:cNvPr id="8" name="Text Box 11446">
          <a:extLst>
            <a:ext uri="{FF2B5EF4-FFF2-40B4-BE49-F238E27FC236}">
              <a16:creationId xmlns:a16="http://schemas.microsoft.com/office/drawing/2014/main" id="{00000000-0008-0000-0C00-000008000000}"/>
            </a:ext>
          </a:extLst>
        </xdr:cNvPr>
        <xdr:cNvSpPr txBox="1">
          <a:spLocks noChangeArrowheads="1"/>
        </xdr:cNvSpPr>
      </xdr:nvSpPr>
      <xdr:spPr bwMode="auto">
        <a:xfrm>
          <a:off x="4869180" y="272034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121</xdr:row>
      <xdr:rowOff>0</xdr:rowOff>
    </xdr:from>
    <xdr:to>
      <xdr:col>3</xdr:col>
      <xdr:colOff>411480</xdr:colOff>
      <xdr:row>121</xdr:row>
      <xdr:rowOff>152400</xdr:rowOff>
    </xdr:to>
    <xdr:sp macro="" textlink="">
      <xdr:nvSpPr>
        <xdr:cNvPr id="9" name="Text Box 11446">
          <a:extLst>
            <a:ext uri="{FF2B5EF4-FFF2-40B4-BE49-F238E27FC236}">
              <a16:creationId xmlns:a16="http://schemas.microsoft.com/office/drawing/2014/main" id="{00000000-0008-0000-0C00-000009000000}"/>
            </a:ext>
          </a:extLst>
        </xdr:cNvPr>
        <xdr:cNvSpPr txBox="1">
          <a:spLocks noChangeArrowheads="1"/>
        </xdr:cNvSpPr>
      </xdr:nvSpPr>
      <xdr:spPr bwMode="auto">
        <a:xfrm>
          <a:off x="4869180" y="272034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121</xdr:row>
      <xdr:rowOff>0</xdr:rowOff>
    </xdr:from>
    <xdr:to>
      <xdr:col>3</xdr:col>
      <xdr:colOff>411480</xdr:colOff>
      <xdr:row>121</xdr:row>
      <xdr:rowOff>152400</xdr:rowOff>
    </xdr:to>
    <xdr:sp macro="" textlink="">
      <xdr:nvSpPr>
        <xdr:cNvPr id="10" name="Text Box 11446">
          <a:extLst>
            <a:ext uri="{FF2B5EF4-FFF2-40B4-BE49-F238E27FC236}">
              <a16:creationId xmlns:a16="http://schemas.microsoft.com/office/drawing/2014/main" id="{00000000-0008-0000-0C00-00000A000000}"/>
            </a:ext>
          </a:extLst>
        </xdr:cNvPr>
        <xdr:cNvSpPr txBox="1">
          <a:spLocks noChangeArrowheads="1"/>
        </xdr:cNvSpPr>
      </xdr:nvSpPr>
      <xdr:spPr bwMode="auto">
        <a:xfrm>
          <a:off x="4869180" y="272034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335280</xdr:colOff>
      <xdr:row>14</xdr:row>
      <xdr:rowOff>0</xdr:rowOff>
    </xdr:from>
    <xdr:to>
      <xdr:col>3</xdr:col>
      <xdr:colOff>411480</xdr:colOff>
      <xdr:row>14</xdr:row>
      <xdr:rowOff>152400</xdr:rowOff>
    </xdr:to>
    <xdr:sp macro="" textlink="">
      <xdr:nvSpPr>
        <xdr:cNvPr id="2" name="Text Box 11446">
          <a:extLst>
            <a:ext uri="{FF2B5EF4-FFF2-40B4-BE49-F238E27FC236}">
              <a16:creationId xmlns:a16="http://schemas.microsoft.com/office/drawing/2014/main" id="{00000000-0008-0000-0D00-000002000000}"/>
            </a:ext>
          </a:extLst>
        </xdr:cNvPr>
        <xdr:cNvSpPr txBox="1">
          <a:spLocks noChangeArrowheads="1"/>
        </xdr:cNvSpPr>
      </xdr:nvSpPr>
      <xdr:spPr bwMode="auto">
        <a:xfrm>
          <a:off x="4869180" y="472059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14</xdr:row>
      <xdr:rowOff>0</xdr:rowOff>
    </xdr:from>
    <xdr:to>
      <xdr:col>3</xdr:col>
      <xdr:colOff>411480</xdr:colOff>
      <xdr:row>14</xdr:row>
      <xdr:rowOff>152400</xdr:rowOff>
    </xdr:to>
    <xdr:sp macro="" textlink="">
      <xdr:nvSpPr>
        <xdr:cNvPr id="3" name="Text Box 11446">
          <a:extLst>
            <a:ext uri="{FF2B5EF4-FFF2-40B4-BE49-F238E27FC236}">
              <a16:creationId xmlns:a16="http://schemas.microsoft.com/office/drawing/2014/main" id="{00000000-0008-0000-0D00-000003000000}"/>
            </a:ext>
          </a:extLst>
        </xdr:cNvPr>
        <xdr:cNvSpPr txBox="1">
          <a:spLocks noChangeArrowheads="1"/>
        </xdr:cNvSpPr>
      </xdr:nvSpPr>
      <xdr:spPr bwMode="auto">
        <a:xfrm>
          <a:off x="4869180" y="472059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14</xdr:row>
      <xdr:rowOff>0</xdr:rowOff>
    </xdr:from>
    <xdr:to>
      <xdr:col>3</xdr:col>
      <xdr:colOff>411480</xdr:colOff>
      <xdr:row>14</xdr:row>
      <xdr:rowOff>152400</xdr:rowOff>
    </xdr:to>
    <xdr:sp macro="" textlink="">
      <xdr:nvSpPr>
        <xdr:cNvPr id="4" name="Text Box 11446">
          <a:extLst>
            <a:ext uri="{FF2B5EF4-FFF2-40B4-BE49-F238E27FC236}">
              <a16:creationId xmlns:a16="http://schemas.microsoft.com/office/drawing/2014/main" id="{00000000-0008-0000-0D00-000004000000}"/>
            </a:ext>
          </a:extLst>
        </xdr:cNvPr>
        <xdr:cNvSpPr txBox="1">
          <a:spLocks noChangeArrowheads="1"/>
        </xdr:cNvSpPr>
      </xdr:nvSpPr>
      <xdr:spPr bwMode="auto">
        <a:xfrm>
          <a:off x="4869180" y="472059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335280</xdr:colOff>
      <xdr:row>30</xdr:row>
      <xdr:rowOff>0</xdr:rowOff>
    </xdr:from>
    <xdr:to>
      <xdr:col>3</xdr:col>
      <xdr:colOff>411480</xdr:colOff>
      <xdr:row>30</xdr:row>
      <xdr:rowOff>152400</xdr:rowOff>
    </xdr:to>
    <xdr:sp macro="" textlink="">
      <xdr:nvSpPr>
        <xdr:cNvPr id="2" name="Text Box 11446">
          <a:extLst>
            <a:ext uri="{FF2B5EF4-FFF2-40B4-BE49-F238E27FC236}">
              <a16:creationId xmlns:a16="http://schemas.microsoft.com/office/drawing/2014/main" id="{00000000-0008-0000-0E00-000002000000}"/>
            </a:ext>
          </a:extLst>
        </xdr:cNvPr>
        <xdr:cNvSpPr txBox="1">
          <a:spLocks noChangeArrowheads="1"/>
        </xdr:cNvSpPr>
      </xdr:nvSpPr>
      <xdr:spPr bwMode="auto">
        <a:xfrm>
          <a:off x="4869180" y="472059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30</xdr:row>
      <xdr:rowOff>0</xdr:rowOff>
    </xdr:from>
    <xdr:to>
      <xdr:col>3</xdr:col>
      <xdr:colOff>411480</xdr:colOff>
      <xdr:row>30</xdr:row>
      <xdr:rowOff>152400</xdr:rowOff>
    </xdr:to>
    <xdr:sp macro="" textlink="">
      <xdr:nvSpPr>
        <xdr:cNvPr id="3" name="Text Box 11446">
          <a:extLst>
            <a:ext uri="{FF2B5EF4-FFF2-40B4-BE49-F238E27FC236}">
              <a16:creationId xmlns:a16="http://schemas.microsoft.com/office/drawing/2014/main" id="{00000000-0008-0000-0E00-000003000000}"/>
            </a:ext>
          </a:extLst>
        </xdr:cNvPr>
        <xdr:cNvSpPr txBox="1">
          <a:spLocks noChangeArrowheads="1"/>
        </xdr:cNvSpPr>
      </xdr:nvSpPr>
      <xdr:spPr bwMode="auto">
        <a:xfrm>
          <a:off x="4869180" y="472059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30</xdr:row>
      <xdr:rowOff>0</xdr:rowOff>
    </xdr:from>
    <xdr:to>
      <xdr:col>3</xdr:col>
      <xdr:colOff>411480</xdr:colOff>
      <xdr:row>30</xdr:row>
      <xdr:rowOff>152400</xdr:rowOff>
    </xdr:to>
    <xdr:sp macro="" textlink="">
      <xdr:nvSpPr>
        <xdr:cNvPr id="4" name="Text Box 11446">
          <a:extLst>
            <a:ext uri="{FF2B5EF4-FFF2-40B4-BE49-F238E27FC236}">
              <a16:creationId xmlns:a16="http://schemas.microsoft.com/office/drawing/2014/main" id="{00000000-0008-0000-0E00-000004000000}"/>
            </a:ext>
          </a:extLst>
        </xdr:cNvPr>
        <xdr:cNvSpPr txBox="1">
          <a:spLocks noChangeArrowheads="1"/>
        </xdr:cNvSpPr>
      </xdr:nvSpPr>
      <xdr:spPr bwMode="auto">
        <a:xfrm>
          <a:off x="4869180" y="472059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335280</xdr:colOff>
      <xdr:row>47</xdr:row>
      <xdr:rowOff>0</xdr:rowOff>
    </xdr:from>
    <xdr:to>
      <xdr:col>3</xdr:col>
      <xdr:colOff>411480</xdr:colOff>
      <xdr:row>47</xdr:row>
      <xdr:rowOff>152400</xdr:rowOff>
    </xdr:to>
    <xdr:sp macro="" textlink="">
      <xdr:nvSpPr>
        <xdr:cNvPr id="2" name="Text Box 11446">
          <a:extLst>
            <a:ext uri="{FF2B5EF4-FFF2-40B4-BE49-F238E27FC236}">
              <a16:creationId xmlns:a16="http://schemas.microsoft.com/office/drawing/2014/main" id="{00000000-0008-0000-0F00-000002000000}"/>
            </a:ext>
          </a:extLst>
        </xdr:cNvPr>
        <xdr:cNvSpPr txBox="1">
          <a:spLocks noChangeArrowheads="1"/>
        </xdr:cNvSpPr>
      </xdr:nvSpPr>
      <xdr:spPr bwMode="auto">
        <a:xfrm>
          <a:off x="4869180" y="472059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47</xdr:row>
      <xdr:rowOff>0</xdr:rowOff>
    </xdr:from>
    <xdr:to>
      <xdr:col>3</xdr:col>
      <xdr:colOff>411480</xdr:colOff>
      <xdr:row>47</xdr:row>
      <xdr:rowOff>152400</xdr:rowOff>
    </xdr:to>
    <xdr:sp macro="" textlink="">
      <xdr:nvSpPr>
        <xdr:cNvPr id="3" name="Text Box 11446">
          <a:extLst>
            <a:ext uri="{FF2B5EF4-FFF2-40B4-BE49-F238E27FC236}">
              <a16:creationId xmlns:a16="http://schemas.microsoft.com/office/drawing/2014/main" id="{00000000-0008-0000-0F00-000003000000}"/>
            </a:ext>
          </a:extLst>
        </xdr:cNvPr>
        <xdr:cNvSpPr txBox="1">
          <a:spLocks noChangeArrowheads="1"/>
        </xdr:cNvSpPr>
      </xdr:nvSpPr>
      <xdr:spPr bwMode="auto">
        <a:xfrm>
          <a:off x="4869180" y="472059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47</xdr:row>
      <xdr:rowOff>0</xdr:rowOff>
    </xdr:from>
    <xdr:to>
      <xdr:col>3</xdr:col>
      <xdr:colOff>411480</xdr:colOff>
      <xdr:row>47</xdr:row>
      <xdr:rowOff>152400</xdr:rowOff>
    </xdr:to>
    <xdr:sp macro="" textlink="">
      <xdr:nvSpPr>
        <xdr:cNvPr id="4" name="Text Box 11446">
          <a:extLst>
            <a:ext uri="{FF2B5EF4-FFF2-40B4-BE49-F238E27FC236}">
              <a16:creationId xmlns:a16="http://schemas.microsoft.com/office/drawing/2014/main" id="{00000000-0008-0000-0F00-000004000000}"/>
            </a:ext>
          </a:extLst>
        </xdr:cNvPr>
        <xdr:cNvSpPr txBox="1">
          <a:spLocks noChangeArrowheads="1"/>
        </xdr:cNvSpPr>
      </xdr:nvSpPr>
      <xdr:spPr bwMode="auto">
        <a:xfrm>
          <a:off x="4869180" y="472059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323850</xdr:colOff>
      <xdr:row>47</xdr:row>
      <xdr:rowOff>0</xdr:rowOff>
    </xdr:from>
    <xdr:to>
      <xdr:col>3</xdr:col>
      <xdr:colOff>400050</xdr:colOff>
      <xdr:row>48</xdr:row>
      <xdr:rowOff>0</xdr:rowOff>
    </xdr:to>
    <xdr:sp macro="" textlink="">
      <xdr:nvSpPr>
        <xdr:cNvPr id="5" name="Text Box 11446">
          <a:extLst>
            <a:ext uri="{FF2B5EF4-FFF2-40B4-BE49-F238E27FC236}">
              <a16:creationId xmlns:a16="http://schemas.microsoft.com/office/drawing/2014/main" id="{00000000-0008-0000-0F00-000005000000}"/>
            </a:ext>
          </a:extLst>
        </xdr:cNvPr>
        <xdr:cNvSpPr txBox="1">
          <a:spLocks noChangeArrowheads="1"/>
        </xdr:cNvSpPr>
      </xdr:nvSpPr>
      <xdr:spPr bwMode="auto">
        <a:xfrm>
          <a:off x="3486150" y="155924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323850</xdr:colOff>
      <xdr:row>47</xdr:row>
      <xdr:rowOff>0</xdr:rowOff>
    </xdr:from>
    <xdr:to>
      <xdr:col>3</xdr:col>
      <xdr:colOff>400050</xdr:colOff>
      <xdr:row>48</xdr:row>
      <xdr:rowOff>0</xdr:rowOff>
    </xdr:to>
    <xdr:sp macro="" textlink="">
      <xdr:nvSpPr>
        <xdr:cNvPr id="6" name="Text Box 11446">
          <a:extLst>
            <a:ext uri="{FF2B5EF4-FFF2-40B4-BE49-F238E27FC236}">
              <a16:creationId xmlns:a16="http://schemas.microsoft.com/office/drawing/2014/main" id="{00000000-0008-0000-0F00-000006000000}"/>
            </a:ext>
          </a:extLst>
        </xdr:cNvPr>
        <xdr:cNvSpPr txBox="1">
          <a:spLocks noChangeArrowheads="1"/>
        </xdr:cNvSpPr>
      </xdr:nvSpPr>
      <xdr:spPr bwMode="auto">
        <a:xfrm>
          <a:off x="3486150" y="155924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323850</xdr:colOff>
      <xdr:row>47</xdr:row>
      <xdr:rowOff>0</xdr:rowOff>
    </xdr:from>
    <xdr:to>
      <xdr:col>3</xdr:col>
      <xdr:colOff>400050</xdr:colOff>
      <xdr:row>48</xdr:row>
      <xdr:rowOff>0</xdr:rowOff>
    </xdr:to>
    <xdr:sp macro="" textlink="">
      <xdr:nvSpPr>
        <xdr:cNvPr id="7" name="Text Box 11446">
          <a:extLst>
            <a:ext uri="{FF2B5EF4-FFF2-40B4-BE49-F238E27FC236}">
              <a16:creationId xmlns:a16="http://schemas.microsoft.com/office/drawing/2014/main" id="{00000000-0008-0000-0F00-000007000000}"/>
            </a:ext>
          </a:extLst>
        </xdr:cNvPr>
        <xdr:cNvSpPr txBox="1">
          <a:spLocks noChangeArrowheads="1"/>
        </xdr:cNvSpPr>
      </xdr:nvSpPr>
      <xdr:spPr bwMode="auto">
        <a:xfrm>
          <a:off x="3486150" y="155924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335280</xdr:colOff>
      <xdr:row>167</xdr:row>
      <xdr:rowOff>0</xdr:rowOff>
    </xdr:from>
    <xdr:to>
      <xdr:col>3</xdr:col>
      <xdr:colOff>411480</xdr:colOff>
      <xdr:row>167</xdr:row>
      <xdr:rowOff>152400</xdr:rowOff>
    </xdr:to>
    <xdr:sp macro="" textlink="">
      <xdr:nvSpPr>
        <xdr:cNvPr id="5" name="Text Box 11446">
          <a:extLst>
            <a:ext uri="{FF2B5EF4-FFF2-40B4-BE49-F238E27FC236}">
              <a16:creationId xmlns:a16="http://schemas.microsoft.com/office/drawing/2014/main" id="{00000000-0008-0000-1100-000005000000}"/>
            </a:ext>
          </a:extLst>
        </xdr:cNvPr>
        <xdr:cNvSpPr txBox="1">
          <a:spLocks noChangeArrowheads="1"/>
        </xdr:cNvSpPr>
      </xdr:nvSpPr>
      <xdr:spPr bwMode="auto">
        <a:xfrm>
          <a:off x="4745355" y="8658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167</xdr:row>
      <xdr:rowOff>0</xdr:rowOff>
    </xdr:from>
    <xdr:to>
      <xdr:col>3</xdr:col>
      <xdr:colOff>411480</xdr:colOff>
      <xdr:row>167</xdr:row>
      <xdr:rowOff>152400</xdr:rowOff>
    </xdr:to>
    <xdr:sp macro="" textlink="">
      <xdr:nvSpPr>
        <xdr:cNvPr id="6" name="Text Box 11446">
          <a:extLst>
            <a:ext uri="{FF2B5EF4-FFF2-40B4-BE49-F238E27FC236}">
              <a16:creationId xmlns:a16="http://schemas.microsoft.com/office/drawing/2014/main" id="{00000000-0008-0000-1100-000006000000}"/>
            </a:ext>
          </a:extLst>
        </xdr:cNvPr>
        <xdr:cNvSpPr txBox="1">
          <a:spLocks noChangeArrowheads="1"/>
        </xdr:cNvSpPr>
      </xdr:nvSpPr>
      <xdr:spPr bwMode="auto">
        <a:xfrm>
          <a:off x="4745355" y="8658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167</xdr:row>
      <xdr:rowOff>0</xdr:rowOff>
    </xdr:from>
    <xdr:to>
      <xdr:col>3</xdr:col>
      <xdr:colOff>411480</xdr:colOff>
      <xdr:row>167</xdr:row>
      <xdr:rowOff>152400</xdr:rowOff>
    </xdr:to>
    <xdr:sp macro="" textlink="">
      <xdr:nvSpPr>
        <xdr:cNvPr id="7" name="Text Box 11446">
          <a:extLst>
            <a:ext uri="{FF2B5EF4-FFF2-40B4-BE49-F238E27FC236}">
              <a16:creationId xmlns:a16="http://schemas.microsoft.com/office/drawing/2014/main" id="{00000000-0008-0000-1100-000007000000}"/>
            </a:ext>
          </a:extLst>
        </xdr:cNvPr>
        <xdr:cNvSpPr txBox="1">
          <a:spLocks noChangeArrowheads="1"/>
        </xdr:cNvSpPr>
      </xdr:nvSpPr>
      <xdr:spPr bwMode="auto">
        <a:xfrm>
          <a:off x="4745355" y="8658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335280</xdr:colOff>
      <xdr:row>605</xdr:row>
      <xdr:rowOff>0</xdr:rowOff>
    </xdr:from>
    <xdr:to>
      <xdr:col>4</xdr:col>
      <xdr:colOff>411480</xdr:colOff>
      <xdr:row>605</xdr:row>
      <xdr:rowOff>152400</xdr:rowOff>
    </xdr:to>
    <xdr:sp macro="" textlink="">
      <xdr:nvSpPr>
        <xdr:cNvPr id="2" name="Text Box 11446">
          <a:extLst>
            <a:ext uri="{FF2B5EF4-FFF2-40B4-BE49-F238E27FC236}">
              <a16:creationId xmlns:a16="http://schemas.microsoft.com/office/drawing/2014/main" id="{00000000-0008-0000-1200-000002000000}"/>
            </a:ext>
          </a:extLst>
        </xdr:cNvPr>
        <xdr:cNvSpPr txBox="1">
          <a:spLocks noChangeArrowheads="1"/>
        </xdr:cNvSpPr>
      </xdr:nvSpPr>
      <xdr:spPr bwMode="auto">
        <a:xfrm>
          <a:off x="4745355" y="8658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605</xdr:row>
      <xdr:rowOff>0</xdr:rowOff>
    </xdr:from>
    <xdr:to>
      <xdr:col>4</xdr:col>
      <xdr:colOff>411480</xdr:colOff>
      <xdr:row>605</xdr:row>
      <xdr:rowOff>152400</xdr:rowOff>
    </xdr:to>
    <xdr:sp macro="" textlink="">
      <xdr:nvSpPr>
        <xdr:cNvPr id="3" name="Text Box 11446">
          <a:extLst>
            <a:ext uri="{FF2B5EF4-FFF2-40B4-BE49-F238E27FC236}">
              <a16:creationId xmlns:a16="http://schemas.microsoft.com/office/drawing/2014/main" id="{00000000-0008-0000-1200-000003000000}"/>
            </a:ext>
          </a:extLst>
        </xdr:cNvPr>
        <xdr:cNvSpPr txBox="1">
          <a:spLocks noChangeArrowheads="1"/>
        </xdr:cNvSpPr>
      </xdr:nvSpPr>
      <xdr:spPr bwMode="auto">
        <a:xfrm>
          <a:off x="4745355" y="8658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605</xdr:row>
      <xdr:rowOff>0</xdr:rowOff>
    </xdr:from>
    <xdr:to>
      <xdr:col>4</xdr:col>
      <xdr:colOff>411480</xdr:colOff>
      <xdr:row>605</xdr:row>
      <xdr:rowOff>152400</xdr:rowOff>
    </xdr:to>
    <xdr:sp macro="" textlink="">
      <xdr:nvSpPr>
        <xdr:cNvPr id="4" name="Text Box 11446">
          <a:extLst>
            <a:ext uri="{FF2B5EF4-FFF2-40B4-BE49-F238E27FC236}">
              <a16:creationId xmlns:a16="http://schemas.microsoft.com/office/drawing/2014/main" id="{00000000-0008-0000-1200-000004000000}"/>
            </a:ext>
          </a:extLst>
        </xdr:cNvPr>
        <xdr:cNvSpPr txBox="1">
          <a:spLocks noChangeArrowheads="1"/>
        </xdr:cNvSpPr>
      </xdr:nvSpPr>
      <xdr:spPr bwMode="auto">
        <a:xfrm>
          <a:off x="4745355" y="8658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335280</xdr:colOff>
      <xdr:row>141</xdr:row>
      <xdr:rowOff>0</xdr:rowOff>
    </xdr:from>
    <xdr:to>
      <xdr:col>4</xdr:col>
      <xdr:colOff>411480</xdr:colOff>
      <xdr:row>141</xdr:row>
      <xdr:rowOff>152400</xdr:rowOff>
    </xdr:to>
    <xdr:sp macro="" textlink="">
      <xdr:nvSpPr>
        <xdr:cNvPr id="2" name="Text Box 11446">
          <a:extLst>
            <a:ext uri="{FF2B5EF4-FFF2-40B4-BE49-F238E27FC236}">
              <a16:creationId xmlns:a16="http://schemas.microsoft.com/office/drawing/2014/main" id="{00000000-0008-0000-1300-000002000000}"/>
            </a:ext>
          </a:extLst>
        </xdr:cNvPr>
        <xdr:cNvSpPr txBox="1">
          <a:spLocks noChangeArrowheads="1"/>
        </xdr:cNvSpPr>
      </xdr:nvSpPr>
      <xdr:spPr bwMode="auto">
        <a:xfrm>
          <a:off x="4745355" y="8658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141</xdr:row>
      <xdr:rowOff>0</xdr:rowOff>
    </xdr:from>
    <xdr:to>
      <xdr:col>4</xdr:col>
      <xdr:colOff>411480</xdr:colOff>
      <xdr:row>141</xdr:row>
      <xdr:rowOff>152400</xdr:rowOff>
    </xdr:to>
    <xdr:sp macro="" textlink="">
      <xdr:nvSpPr>
        <xdr:cNvPr id="3" name="Text Box 11446">
          <a:extLst>
            <a:ext uri="{FF2B5EF4-FFF2-40B4-BE49-F238E27FC236}">
              <a16:creationId xmlns:a16="http://schemas.microsoft.com/office/drawing/2014/main" id="{00000000-0008-0000-1300-000003000000}"/>
            </a:ext>
          </a:extLst>
        </xdr:cNvPr>
        <xdr:cNvSpPr txBox="1">
          <a:spLocks noChangeArrowheads="1"/>
        </xdr:cNvSpPr>
      </xdr:nvSpPr>
      <xdr:spPr bwMode="auto">
        <a:xfrm>
          <a:off x="4745355" y="8658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141</xdr:row>
      <xdr:rowOff>0</xdr:rowOff>
    </xdr:from>
    <xdr:to>
      <xdr:col>4</xdr:col>
      <xdr:colOff>411480</xdr:colOff>
      <xdr:row>141</xdr:row>
      <xdr:rowOff>152400</xdr:rowOff>
    </xdr:to>
    <xdr:sp macro="" textlink="">
      <xdr:nvSpPr>
        <xdr:cNvPr id="4" name="Text Box 11446">
          <a:extLst>
            <a:ext uri="{FF2B5EF4-FFF2-40B4-BE49-F238E27FC236}">
              <a16:creationId xmlns:a16="http://schemas.microsoft.com/office/drawing/2014/main" id="{00000000-0008-0000-1300-000004000000}"/>
            </a:ext>
          </a:extLst>
        </xdr:cNvPr>
        <xdr:cNvSpPr txBox="1">
          <a:spLocks noChangeArrowheads="1"/>
        </xdr:cNvSpPr>
      </xdr:nvSpPr>
      <xdr:spPr bwMode="auto">
        <a:xfrm>
          <a:off x="4745355" y="8658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335280</xdr:colOff>
      <xdr:row>186</xdr:row>
      <xdr:rowOff>0</xdr:rowOff>
    </xdr:from>
    <xdr:to>
      <xdr:col>3</xdr:col>
      <xdr:colOff>411480</xdr:colOff>
      <xdr:row>186</xdr:row>
      <xdr:rowOff>152400</xdr:rowOff>
    </xdr:to>
    <xdr:sp macro="" textlink="">
      <xdr:nvSpPr>
        <xdr:cNvPr id="2" name="Text Box 11446">
          <a:extLst>
            <a:ext uri="{FF2B5EF4-FFF2-40B4-BE49-F238E27FC236}">
              <a16:creationId xmlns:a16="http://schemas.microsoft.com/office/drawing/2014/main" id="{00000000-0008-0000-14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186</xdr:row>
      <xdr:rowOff>0</xdr:rowOff>
    </xdr:from>
    <xdr:to>
      <xdr:col>3</xdr:col>
      <xdr:colOff>411480</xdr:colOff>
      <xdr:row>186</xdr:row>
      <xdr:rowOff>152400</xdr:rowOff>
    </xdr:to>
    <xdr:sp macro="" textlink="">
      <xdr:nvSpPr>
        <xdr:cNvPr id="3" name="Text Box 11446">
          <a:extLst>
            <a:ext uri="{FF2B5EF4-FFF2-40B4-BE49-F238E27FC236}">
              <a16:creationId xmlns:a16="http://schemas.microsoft.com/office/drawing/2014/main" id="{00000000-0008-0000-14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186</xdr:row>
      <xdr:rowOff>0</xdr:rowOff>
    </xdr:from>
    <xdr:to>
      <xdr:col>3</xdr:col>
      <xdr:colOff>411480</xdr:colOff>
      <xdr:row>186</xdr:row>
      <xdr:rowOff>152400</xdr:rowOff>
    </xdr:to>
    <xdr:sp macro="" textlink="">
      <xdr:nvSpPr>
        <xdr:cNvPr id="4" name="Text Box 11446">
          <a:extLst>
            <a:ext uri="{FF2B5EF4-FFF2-40B4-BE49-F238E27FC236}">
              <a16:creationId xmlns:a16="http://schemas.microsoft.com/office/drawing/2014/main" id="{00000000-0008-0000-14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335280</xdr:colOff>
      <xdr:row>43</xdr:row>
      <xdr:rowOff>0</xdr:rowOff>
    </xdr:from>
    <xdr:to>
      <xdr:col>4</xdr:col>
      <xdr:colOff>411480</xdr:colOff>
      <xdr:row>43</xdr:row>
      <xdr:rowOff>152400</xdr:rowOff>
    </xdr:to>
    <xdr:sp macro="" textlink="">
      <xdr:nvSpPr>
        <xdr:cNvPr id="5" name="Text Box 11446">
          <a:extLst>
            <a:ext uri="{FF2B5EF4-FFF2-40B4-BE49-F238E27FC236}">
              <a16:creationId xmlns:a16="http://schemas.microsoft.com/office/drawing/2014/main" id="{00000000-0008-0000-15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43</xdr:row>
      <xdr:rowOff>0</xdr:rowOff>
    </xdr:from>
    <xdr:to>
      <xdr:col>4</xdr:col>
      <xdr:colOff>411480</xdr:colOff>
      <xdr:row>43</xdr:row>
      <xdr:rowOff>152400</xdr:rowOff>
    </xdr:to>
    <xdr:sp macro="" textlink="">
      <xdr:nvSpPr>
        <xdr:cNvPr id="6" name="Text Box 11446">
          <a:extLst>
            <a:ext uri="{FF2B5EF4-FFF2-40B4-BE49-F238E27FC236}">
              <a16:creationId xmlns:a16="http://schemas.microsoft.com/office/drawing/2014/main" id="{00000000-0008-0000-15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43</xdr:row>
      <xdr:rowOff>0</xdr:rowOff>
    </xdr:from>
    <xdr:to>
      <xdr:col>4</xdr:col>
      <xdr:colOff>411480</xdr:colOff>
      <xdr:row>43</xdr:row>
      <xdr:rowOff>152400</xdr:rowOff>
    </xdr:to>
    <xdr:sp macro="" textlink="">
      <xdr:nvSpPr>
        <xdr:cNvPr id="7" name="Text Box 11446">
          <a:extLst>
            <a:ext uri="{FF2B5EF4-FFF2-40B4-BE49-F238E27FC236}">
              <a16:creationId xmlns:a16="http://schemas.microsoft.com/office/drawing/2014/main" id="{00000000-0008-0000-15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335280</xdr:colOff>
      <xdr:row>43</xdr:row>
      <xdr:rowOff>0</xdr:rowOff>
    </xdr:from>
    <xdr:to>
      <xdr:col>3</xdr:col>
      <xdr:colOff>411480</xdr:colOff>
      <xdr:row>43</xdr:row>
      <xdr:rowOff>152400</xdr:rowOff>
    </xdr:to>
    <xdr:sp macro="" textlink="">
      <xdr:nvSpPr>
        <xdr:cNvPr id="5" name="Text Box 11446">
          <a:extLst>
            <a:ext uri="{FF2B5EF4-FFF2-40B4-BE49-F238E27FC236}">
              <a16:creationId xmlns:a16="http://schemas.microsoft.com/office/drawing/2014/main" id="{00000000-0008-0000-03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43</xdr:row>
      <xdr:rowOff>0</xdr:rowOff>
    </xdr:from>
    <xdr:to>
      <xdr:col>3</xdr:col>
      <xdr:colOff>411480</xdr:colOff>
      <xdr:row>43</xdr:row>
      <xdr:rowOff>152400</xdr:rowOff>
    </xdr:to>
    <xdr:sp macro="" textlink="">
      <xdr:nvSpPr>
        <xdr:cNvPr id="6" name="Text Box 11446">
          <a:extLst>
            <a:ext uri="{FF2B5EF4-FFF2-40B4-BE49-F238E27FC236}">
              <a16:creationId xmlns:a16="http://schemas.microsoft.com/office/drawing/2014/main" id="{00000000-0008-0000-03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43</xdr:row>
      <xdr:rowOff>0</xdr:rowOff>
    </xdr:from>
    <xdr:to>
      <xdr:col>3</xdr:col>
      <xdr:colOff>411480</xdr:colOff>
      <xdr:row>43</xdr:row>
      <xdr:rowOff>152400</xdr:rowOff>
    </xdr:to>
    <xdr:sp macro="" textlink="">
      <xdr:nvSpPr>
        <xdr:cNvPr id="7" name="Text Box 11446">
          <a:extLst>
            <a:ext uri="{FF2B5EF4-FFF2-40B4-BE49-F238E27FC236}">
              <a16:creationId xmlns:a16="http://schemas.microsoft.com/office/drawing/2014/main" id="{00000000-0008-0000-03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335280</xdr:colOff>
      <xdr:row>64</xdr:row>
      <xdr:rowOff>0</xdr:rowOff>
    </xdr:from>
    <xdr:to>
      <xdr:col>3</xdr:col>
      <xdr:colOff>411480</xdr:colOff>
      <xdr:row>64</xdr:row>
      <xdr:rowOff>152400</xdr:rowOff>
    </xdr:to>
    <xdr:sp macro="" textlink="">
      <xdr:nvSpPr>
        <xdr:cNvPr id="2" name="Text Box 11446">
          <a:extLst>
            <a:ext uri="{FF2B5EF4-FFF2-40B4-BE49-F238E27FC236}">
              <a16:creationId xmlns:a16="http://schemas.microsoft.com/office/drawing/2014/main" id="{00000000-0008-0000-16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64</xdr:row>
      <xdr:rowOff>0</xdr:rowOff>
    </xdr:from>
    <xdr:to>
      <xdr:col>3</xdr:col>
      <xdr:colOff>411480</xdr:colOff>
      <xdr:row>64</xdr:row>
      <xdr:rowOff>152400</xdr:rowOff>
    </xdr:to>
    <xdr:sp macro="" textlink="">
      <xdr:nvSpPr>
        <xdr:cNvPr id="3" name="Text Box 11446">
          <a:extLst>
            <a:ext uri="{FF2B5EF4-FFF2-40B4-BE49-F238E27FC236}">
              <a16:creationId xmlns:a16="http://schemas.microsoft.com/office/drawing/2014/main" id="{00000000-0008-0000-16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64</xdr:row>
      <xdr:rowOff>0</xdr:rowOff>
    </xdr:from>
    <xdr:to>
      <xdr:col>3</xdr:col>
      <xdr:colOff>411480</xdr:colOff>
      <xdr:row>64</xdr:row>
      <xdr:rowOff>152400</xdr:rowOff>
    </xdr:to>
    <xdr:sp macro="" textlink="">
      <xdr:nvSpPr>
        <xdr:cNvPr id="4" name="Text Box 11446">
          <a:extLst>
            <a:ext uri="{FF2B5EF4-FFF2-40B4-BE49-F238E27FC236}">
              <a16:creationId xmlns:a16="http://schemas.microsoft.com/office/drawing/2014/main" id="{00000000-0008-0000-16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335280</xdr:colOff>
      <xdr:row>39</xdr:row>
      <xdr:rowOff>0</xdr:rowOff>
    </xdr:from>
    <xdr:to>
      <xdr:col>3</xdr:col>
      <xdr:colOff>411480</xdr:colOff>
      <xdr:row>39</xdr:row>
      <xdr:rowOff>144780</xdr:rowOff>
    </xdr:to>
    <xdr:sp macro="" textlink="">
      <xdr:nvSpPr>
        <xdr:cNvPr id="5" name="Text Box 11446">
          <a:extLst>
            <a:ext uri="{FF2B5EF4-FFF2-40B4-BE49-F238E27FC236}">
              <a16:creationId xmlns:a16="http://schemas.microsoft.com/office/drawing/2014/main" id="{00000000-0008-0000-1700-000005000000}"/>
            </a:ext>
          </a:extLst>
        </xdr:cNvPr>
        <xdr:cNvSpPr txBox="1">
          <a:spLocks noChangeArrowheads="1"/>
        </xdr:cNvSpPr>
      </xdr:nvSpPr>
      <xdr:spPr bwMode="auto">
        <a:xfrm>
          <a:off x="3596640" y="5311140"/>
          <a:ext cx="7620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39</xdr:row>
      <xdr:rowOff>0</xdr:rowOff>
    </xdr:from>
    <xdr:to>
      <xdr:col>3</xdr:col>
      <xdr:colOff>411480</xdr:colOff>
      <xdr:row>39</xdr:row>
      <xdr:rowOff>144780</xdr:rowOff>
    </xdr:to>
    <xdr:sp macro="" textlink="">
      <xdr:nvSpPr>
        <xdr:cNvPr id="6" name="Text Box 11446">
          <a:extLst>
            <a:ext uri="{FF2B5EF4-FFF2-40B4-BE49-F238E27FC236}">
              <a16:creationId xmlns:a16="http://schemas.microsoft.com/office/drawing/2014/main" id="{00000000-0008-0000-1700-000006000000}"/>
            </a:ext>
          </a:extLst>
        </xdr:cNvPr>
        <xdr:cNvSpPr txBox="1">
          <a:spLocks noChangeArrowheads="1"/>
        </xdr:cNvSpPr>
      </xdr:nvSpPr>
      <xdr:spPr bwMode="auto">
        <a:xfrm>
          <a:off x="3596640" y="5311140"/>
          <a:ext cx="7620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39</xdr:row>
      <xdr:rowOff>0</xdr:rowOff>
    </xdr:from>
    <xdr:to>
      <xdr:col>3</xdr:col>
      <xdr:colOff>411480</xdr:colOff>
      <xdr:row>39</xdr:row>
      <xdr:rowOff>144780</xdr:rowOff>
    </xdr:to>
    <xdr:sp macro="" textlink="">
      <xdr:nvSpPr>
        <xdr:cNvPr id="7" name="Text Box 11446">
          <a:extLst>
            <a:ext uri="{FF2B5EF4-FFF2-40B4-BE49-F238E27FC236}">
              <a16:creationId xmlns:a16="http://schemas.microsoft.com/office/drawing/2014/main" id="{00000000-0008-0000-1700-000007000000}"/>
            </a:ext>
          </a:extLst>
        </xdr:cNvPr>
        <xdr:cNvSpPr txBox="1">
          <a:spLocks noChangeArrowheads="1"/>
        </xdr:cNvSpPr>
      </xdr:nvSpPr>
      <xdr:spPr bwMode="auto">
        <a:xfrm>
          <a:off x="3596640" y="5311140"/>
          <a:ext cx="7620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39</xdr:row>
      <xdr:rowOff>0</xdr:rowOff>
    </xdr:from>
    <xdr:to>
      <xdr:col>3</xdr:col>
      <xdr:colOff>411480</xdr:colOff>
      <xdr:row>39</xdr:row>
      <xdr:rowOff>152400</xdr:rowOff>
    </xdr:to>
    <xdr:sp macro="" textlink="">
      <xdr:nvSpPr>
        <xdr:cNvPr id="8" name="Text Box 11446">
          <a:extLst>
            <a:ext uri="{FF2B5EF4-FFF2-40B4-BE49-F238E27FC236}">
              <a16:creationId xmlns:a16="http://schemas.microsoft.com/office/drawing/2014/main" id="{00000000-0008-0000-1700-000008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39</xdr:row>
      <xdr:rowOff>0</xdr:rowOff>
    </xdr:from>
    <xdr:to>
      <xdr:col>3</xdr:col>
      <xdr:colOff>411480</xdr:colOff>
      <xdr:row>39</xdr:row>
      <xdr:rowOff>152400</xdr:rowOff>
    </xdr:to>
    <xdr:sp macro="" textlink="">
      <xdr:nvSpPr>
        <xdr:cNvPr id="9" name="Text Box 11446">
          <a:extLst>
            <a:ext uri="{FF2B5EF4-FFF2-40B4-BE49-F238E27FC236}">
              <a16:creationId xmlns:a16="http://schemas.microsoft.com/office/drawing/2014/main" id="{00000000-0008-0000-1700-000009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39</xdr:row>
      <xdr:rowOff>0</xdr:rowOff>
    </xdr:from>
    <xdr:to>
      <xdr:col>3</xdr:col>
      <xdr:colOff>411480</xdr:colOff>
      <xdr:row>39</xdr:row>
      <xdr:rowOff>152400</xdr:rowOff>
    </xdr:to>
    <xdr:sp macro="" textlink="">
      <xdr:nvSpPr>
        <xdr:cNvPr id="10" name="Text Box 11446">
          <a:extLst>
            <a:ext uri="{FF2B5EF4-FFF2-40B4-BE49-F238E27FC236}">
              <a16:creationId xmlns:a16="http://schemas.microsoft.com/office/drawing/2014/main" id="{00000000-0008-0000-1700-00000A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335280</xdr:colOff>
      <xdr:row>30</xdr:row>
      <xdr:rowOff>0</xdr:rowOff>
    </xdr:from>
    <xdr:ext cx="76200" cy="144780"/>
    <xdr:sp macro="" textlink="">
      <xdr:nvSpPr>
        <xdr:cNvPr id="17" name="Text Box 11446">
          <a:extLst>
            <a:ext uri="{FF2B5EF4-FFF2-40B4-BE49-F238E27FC236}">
              <a16:creationId xmlns:a16="http://schemas.microsoft.com/office/drawing/2014/main" id="{00000000-0008-0000-1700-000011000000}"/>
            </a:ext>
          </a:extLst>
        </xdr:cNvPr>
        <xdr:cNvSpPr txBox="1">
          <a:spLocks noChangeArrowheads="1"/>
        </xdr:cNvSpPr>
      </xdr:nvSpPr>
      <xdr:spPr bwMode="auto">
        <a:xfrm>
          <a:off x="4754880" y="8394700"/>
          <a:ext cx="7620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30</xdr:row>
      <xdr:rowOff>0</xdr:rowOff>
    </xdr:from>
    <xdr:ext cx="76200" cy="144780"/>
    <xdr:sp macro="" textlink="">
      <xdr:nvSpPr>
        <xdr:cNvPr id="18" name="Text Box 11446">
          <a:extLst>
            <a:ext uri="{FF2B5EF4-FFF2-40B4-BE49-F238E27FC236}">
              <a16:creationId xmlns:a16="http://schemas.microsoft.com/office/drawing/2014/main" id="{00000000-0008-0000-1700-000012000000}"/>
            </a:ext>
          </a:extLst>
        </xdr:cNvPr>
        <xdr:cNvSpPr txBox="1">
          <a:spLocks noChangeArrowheads="1"/>
        </xdr:cNvSpPr>
      </xdr:nvSpPr>
      <xdr:spPr bwMode="auto">
        <a:xfrm>
          <a:off x="4754880" y="8394700"/>
          <a:ext cx="7620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30</xdr:row>
      <xdr:rowOff>0</xdr:rowOff>
    </xdr:from>
    <xdr:ext cx="76200" cy="144780"/>
    <xdr:sp macro="" textlink="">
      <xdr:nvSpPr>
        <xdr:cNvPr id="19" name="Text Box 11446">
          <a:extLst>
            <a:ext uri="{FF2B5EF4-FFF2-40B4-BE49-F238E27FC236}">
              <a16:creationId xmlns:a16="http://schemas.microsoft.com/office/drawing/2014/main" id="{00000000-0008-0000-1700-000013000000}"/>
            </a:ext>
          </a:extLst>
        </xdr:cNvPr>
        <xdr:cNvSpPr txBox="1">
          <a:spLocks noChangeArrowheads="1"/>
        </xdr:cNvSpPr>
      </xdr:nvSpPr>
      <xdr:spPr bwMode="auto">
        <a:xfrm>
          <a:off x="4754880" y="8394700"/>
          <a:ext cx="7620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30</xdr:row>
      <xdr:rowOff>0</xdr:rowOff>
    </xdr:from>
    <xdr:ext cx="76200" cy="152400"/>
    <xdr:sp macro="" textlink="">
      <xdr:nvSpPr>
        <xdr:cNvPr id="20" name="Text Box 11446">
          <a:extLst>
            <a:ext uri="{FF2B5EF4-FFF2-40B4-BE49-F238E27FC236}">
              <a16:creationId xmlns:a16="http://schemas.microsoft.com/office/drawing/2014/main" id="{00000000-0008-0000-1700-000014000000}"/>
            </a:ext>
          </a:extLst>
        </xdr:cNvPr>
        <xdr:cNvSpPr txBox="1">
          <a:spLocks noChangeArrowheads="1"/>
        </xdr:cNvSpPr>
      </xdr:nvSpPr>
      <xdr:spPr bwMode="auto">
        <a:xfrm>
          <a:off x="4754880" y="83947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30</xdr:row>
      <xdr:rowOff>0</xdr:rowOff>
    </xdr:from>
    <xdr:ext cx="76200" cy="152400"/>
    <xdr:sp macro="" textlink="">
      <xdr:nvSpPr>
        <xdr:cNvPr id="21" name="Text Box 11446">
          <a:extLst>
            <a:ext uri="{FF2B5EF4-FFF2-40B4-BE49-F238E27FC236}">
              <a16:creationId xmlns:a16="http://schemas.microsoft.com/office/drawing/2014/main" id="{00000000-0008-0000-1700-000015000000}"/>
            </a:ext>
          </a:extLst>
        </xdr:cNvPr>
        <xdr:cNvSpPr txBox="1">
          <a:spLocks noChangeArrowheads="1"/>
        </xdr:cNvSpPr>
      </xdr:nvSpPr>
      <xdr:spPr bwMode="auto">
        <a:xfrm>
          <a:off x="4754880" y="83947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30</xdr:row>
      <xdr:rowOff>0</xdr:rowOff>
    </xdr:from>
    <xdr:ext cx="76200" cy="152400"/>
    <xdr:sp macro="" textlink="">
      <xdr:nvSpPr>
        <xdr:cNvPr id="22" name="Text Box 11446">
          <a:extLst>
            <a:ext uri="{FF2B5EF4-FFF2-40B4-BE49-F238E27FC236}">
              <a16:creationId xmlns:a16="http://schemas.microsoft.com/office/drawing/2014/main" id="{00000000-0008-0000-1700-000016000000}"/>
            </a:ext>
          </a:extLst>
        </xdr:cNvPr>
        <xdr:cNvSpPr txBox="1">
          <a:spLocks noChangeArrowheads="1"/>
        </xdr:cNvSpPr>
      </xdr:nvSpPr>
      <xdr:spPr bwMode="auto">
        <a:xfrm>
          <a:off x="4754880" y="83947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3</xdr:col>
      <xdr:colOff>335280</xdr:colOff>
      <xdr:row>45</xdr:row>
      <xdr:rowOff>0</xdr:rowOff>
    </xdr:from>
    <xdr:to>
      <xdr:col>3</xdr:col>
      <xdr:colOff>411480</xdr:colOff>
      <xdr:row>45</xdr:row>
      <xdr:rowOff>152400</xdr:rowOff>
    </xdr:to>
    <xdr:sp macro="" textlink="">
      <xdr:nvSpPr>
        <xdr:cNvPr id="2" name="Text Box 11446">
          <a:extLst>
            <a:ext uri="{FF2B5EF4-FFF2-40B4-BE49-F238E27FC236}">
              <a16:creationId xmlns:a16="http://schemas.microsoft.com/office/drawing/2014/main" id="{00000000-0008-0000-18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45</xdr:row>
      <xdr:rowOff>0</xdr:rowOff>
    </xdr:from>
    <xdr:to>
      <xdr:col>3</xdr:col>
      <xdr:colOff>411480</xdr:colOff>
      <xdr:row>45</xdr:row>
      <xdr:rowOff>152400</xdr:rowOff>
    </xdr:to>
    <xdr:sp macro="" textlink="">
      <xdr:nvSpPr>
        <xdr:cNvPr id="3" name="Text Box 11446">
          <a:extLst>
            <a:ext uri="{FF2B5EF4-FFF2-40B4-BE49-F238E27FC236}">
              <a16:creationId xmlns:a16="http://schemas.microsoft.com/office/drawing/2014/main" id="{00000000-0008-0000-18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45</xdr:row>
      <xdr:rowOff>0</xdr:rowOff>
    </xdr:from>
    <xdr:to>
      <xdr:col>3</xdr:col>
      <xdr:colOff>411480</xdr:colOff>
      <xdr:row>45</xdr:row>
      <xdr:rowOff>152400</xdr:rowOff>
    </xdr:to>
    <xdr:sp macro="" textlink="">
      <xdr:nvSpPr>
        <xdr:cNvPr id="4" name="Text Box 11446">
          <a:extLst>
            <a:ext uri="{FF2B5EF4-FFF2-40B4-BE49-F238E27FC236}">
              <a16:creationId xmlns:a16="http://schemas.microsoft.com/office/drawing/2014/main" id="{00000000-0008-0000-18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335280</xdr:colOff>
      <xdr:row>44</xdr:row>
      <xdr:rowOff>0</xdr:rowOff>
    </xdr:from>
    <xdr:to>
      <xdr:col>4</xdr:col>
      <xdr:colOff>411480</xdr:colOff>
      <xdr:row>44</xdr:row>
      <xdr:rowOff>152400</xdr:rowOff>
    </xdr:to>
    <xdr:sp macro="" textlink="">
      <xdr:nvSpPr>
        <xdr:cNvPr id="2" name="Text Box 11446">
          <a:extLst>
            <a:ext uri="{FF2B5EF4-FFF2-40B4-BE49-F238E27FC236}">
              <a16:creationId xmlns:a16="http://schemas.microsoft.com/office/drawing/2014/main" id="{00000000-0008-0000-19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44</xdr:row>
      <xdr:rowOff>0</xdr:rowOff>
    </xdr:from>
    <xdr:to>
      <xdr:col>4</xdr:col>
      <xdr:colOff>411480</xdr:colOff>
      <xdr:row>44</xdr:row>
      <xdr:rowOff>152400</xdr:rowOff>
    </xdr:to>
    <xdr:sp macro="" textlink="">
      <xdr:nvSpPr>
        <xdr:cNvPr id="3" name="Text Box 11446">
          <a:extLst>
            <a:ext uri="{FF2B5EF4-FFF2-40B4-BE49-F238E27FC236}">
              <a16:creationId xmlns:a16="http://schemas.microsoft.com/office/drawing/2014/main" id="{00000000-0008-0000-19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44</xdr:row>
      <xdr:rowOff>0</xdr:rowOff>
    </xdr:from>
    <xdr:to>
      <xdr:col>4</xdr:col>
      <xdr:colOff>411480</xdr:colOff>
      <xdr:row>44</xdr:row>
      <xdr:rowOff>152400</xdr:rowOff>
    </xdr:to>
    <xdr:sp macro="" textlink="">
      <xdr:nvSpPr>
        <xdr:cNvPr id="4" name="Text Box 11446">
          <a:extLst>
            <a:ext uri="{FF2B5EF4-FFF2-40B4-BE49-F238E27FC236}">
              <a16:creationId xmlns:a16="http://schemas.microsoft.com/office/drawing/2014/main" id="{00000000-0008-0000-19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335280</xdr:colOff>
      <xdr:row>34</xdr:row>
      <xdr:rowOff>0</xdr:rowOff>
    </xdr:from>
    <xdr:to>
      <xdr:col>4</xdr:col>
      <xdr:colOff>411480</xdr:colOff>
      <xdr:row>34</xdr:row>
      <xdr:rowOff>152400</xdr:rowOff>
    </xdr:to>
    <xdr:sp macro="" textlink="">
      <xdr:nvSpPr>
        <xdr:cNvPr id="5" name="Text Box 11446">
          <a:extLst>
            <a:ext uri="{FF2B5EF4-FFF2-40B4-BE49-F238E27FC236}">
              <a16:creationId xmlns:a16="http://schemas.microsoft.com/office/drawing/2014/main" id="{00000000-0008-0000-1A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34</xdr:row>
      <xdr:rowOff>0</xdr:rowOff>
    </xdr:from>
    <xdr:to>
      <xdr:col>4</xdr:col>
      <xdr:colOff>411480</xdr:colOff>
      <xdr:row>34</xdr:row>
      <xdr:rowOff>152400</xdr:rowOff>
    </xdr:to>
    <xdr:sp macro="" textlink="">
      <xdr:nvSpPr>
        <xdr:cNvPr id="6" name="Text Box 11446">
          <a:extLst>
            <a:ext uri="{FF2B5EF4-FFF2-40B4-BE49-F238E27FC236}">
              <a16:creationId xmlns:a16="http://schemas.microsoft.com/office/drawing/2014/main" id="{00000000-0008-0000-1A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34</xdr:row>
      <xdr:rowOff>0</xdr:rowOff>
    </xdr:from>
    <xdr:to>
      <xdr:col>4</xdr:col>
      <xdr:colOff>411480</xdr:colOff>
      <xdr:row>34</xdr:row>
      <xdr:rowOff>152400</xdr:rowOff>
    </xdr:to>
    <xdr:sp macro="" textlink="">
      <xdr:nvSpPr>
        <xdr:cNvPr id="7" name="Text Box 11446">
          <a:extLst>
            <a:ext uri="{FF2B5EF4-FFF2-40B4-BE49-F238E27FC236}">
              <a16:creationId xmlns:a16="http://schemas.microsoft.com/office/drawing/2014/main" id="{00000000-0008-0000-1A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335280</xdr:colOff>
      <xdr:row>58</xdr:row>
      <xdr:rowOff>0</xdr:rowOff>
    </xdr:from>
    <xdr:to>
      <xdr:col>4</xdr:col>
      <xdr:colOff>411480</xdr:colOff>
      <xdr:row>58</xdr:row>
      <xdr:rowOff>152400</xdr:rowOff>
    </xdr:to>
    <xdr:sp macro="" textlink="">
      <xdr:nvSpPr>
        <xdr:cNvPr id="2" name="Text Box 11446">
          <a:extLst>
            <a:ext uri="{FF2B5EF4-FFF2-40B4-BE49-F238E27FC236}">
              <a16:creationId xmlns:a16="http://schemas.microsoft.com/office/drawing/2014/main" id="{00000000-0008-0000-1B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58</xdr:row>
      <xdr:rowOff>0</xdr:rowOff>
    </xdr:from>
    <xdr:to>
      <xdr:col>4</xdr:col>
      <xdr:colOff>411480</xdr:colOff>
      <xdr:row>58</xdr:row>
      <xdr:rowOff>152400</xdr:rowOff>
    </xdr:to>
    <xdr:sp macro="" textlink="">
      <xdr:nvSpPr>
        <xdr:cNvPr id="3" name="Text Box 11446">
          <a:extLst>
            <a:ext uri="{FF2B5EF4-FFF2-40B4-BE49-F238E27FC236}">
              <a16:creationId xmlns:a16="http://schemas.microsoft.com/office/drawing/2014/main" id="{00000000-0008-0000-1B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58</xdr:row>
      <xdr:rowOff>0</xdr:rowOff>
    </xdr:from>
    <xdr:to>
      <xdr:col>4</xdr:col>
      <xdr:colOff>411480</xdr:colOff>
      <xdr:row>58</xdr:row>
      <xdr:rowOff>152400</xdr:rowOff>
    </xdr:to>
    <xdr:sp macro="" textlink="">
      <xdr:nvSpPr>
        <xdr:cNvPr id="4" name="Text Box 11446">
          <a:extLst>
            <a:ext uri="{FF2B5EF4-FFF2-40B4-BE49-F238E27FC236}">
              <a16:creationId xmlns:a16="http://schemas.microsoft.com/office/drawing/2014/main" id="{00000000-0008-0000-1B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335280</xdr:colOff>
      <xdr:row>27</xdr:row>
      <xdr:rowOff>0</xdr:rowOff>
    </xdr:from>
    <xdr:to>
      <xdr:col>4</xdr:col>
      <xdr:colOff>411480</xdr:colOff>
      <xdr:row>27</xdr:row>
      <xdr:rowOff>152400</xdr:rowOff>
    </xdr:to>
    <xdr:sp macro="" textlink="">
      <xdr:nvSpPr>
        <xdr:cNvPr id="2" name="Text Box 11446">
          <a:extLst>
            <a:ext uri="{FF2B5EF4-FFF2-40B4-BE49-F238E27FC236}">
              <a16:creationId xmlns:a16="http://schemas.microsoft.com/office/drawing/2014/main" id="{00000000-0008-0000-1C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27</xdr:row>
      <xdr:rowOff>0</xdr:rowOff>
    </xdr:from>
    <xdr:to>
      <xdr:col>4</xdr:col>
      <xdr:colOff>411480</xdr:colOff>
      <xdr:row>27</xdr:row>
      <xdr:rowOff>152400</xdr:rowOff>
    </xdr:to>
    <xdr:sp macro="" textlink="">
      <xdr:nvSpPr>
        <xdr:cNvPr id="3" name="Text Box 11446">
          <a:extLst>
            <a:ext uri="{FF2B5EF4-FFF2-40B4-BE49-F238E27FC236}">
              <a16:creationId xmlns:a16="http://schemas.microsoft.com/office/drawing/2014/main" id="{00000000-0008-0000-1C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27</xdr:row>
      <xdr:rowOff>0</xdr:rowOff>
    </xdr:from>
    <xdr:to>
      <xdr:col>4</xdr:col>
      <xdr:colOff>411480</xdr:colOff>
      <xdr:row>27</xdr:row>
      <xdr:rowOff>152400</xdr:rowOff>
    </xdr:to>
    <xdr:sp macro="" textlink="">
      <xdr:nvSpPr>
        <xdr:cNvPr id="4" name="Text Box 11446">
          <a:extLst>
            <a:ext uri="{FF2B5EF4-FFF2-40B4-BE49-F238E27FC236}">
              <a16:creationId xmlns:a16="http://schemas.microsoft.com/office/drawing/2014/main" id="{00000000-0008-0000-1C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335280</xdr:colOff>
      <xdr:row>51</xdr:row>
      <xdr:rowOff>0</xdr:rowOff>
    </xdr:from>
    <xdr:to>
      <xdr:col>3</xdr:col>
      <xdr:colOff>411480</xdr:colOff>
      <xdr:row>51</xdr:row>
      <xdr:rowOff>152400</xdr:rowOff>
    </xdr:to>
    <xdr:sp macro="" textlink="">
      <xdr:nvSpPr>
        <xdr:cNvPr id="2" name="Text Box 11446">
          <a:extLst>
            <a:ext uri="{FF2B5EF4-FFF2-40B4-BE49-F238E27FC236}">
              <a16:creationId xmlns:a16="http://schemas.microsoft.com/office/drawing/2014/main" id="{00000000-0008-0000-1D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51</xdr:row>
      <xdr:rowOff>0</xdr:rowOff>
    </xdr:from>
    <xdr:to>
      <xdr:col>3</xdr:col>
      <xdr:colOff>411480</xdr:colOff>
      <xdr:row>51</xdr:row>
      <xdr:rowOff>152400</xdr:rowOff>
    </xdr:to>
    <xdr:sp macro="" textlink="">
      <xdr:nvSpPr>
        <xdr:cNvPr id="3" name="Text Box 11446">
          <a:extLst>
            <a:ext uri="{FF2B5EF4-FFF2-40B4-BE49-F238E27FC236}">
              <a16:creationId xmlns:a16="http://schemas.microsoft.com/office/drawing/2014/main" id="{00000000-0008-0000-1D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51</xdr:row>
      <xdr:rowOff>0</xdr:rowOff>
    </xdr:from>
    <xdr:to>
      <xdr:col>3</xdr:col>
      <xdr:colOff>411480</xdr:colOff>
      <xdr:row>51</xdr:row>
      <xdr:rowOff>152400</xdr:rowOff>
    </xdr:to>
    <xdr:sp macro="" textlink="">
      <xdr:nvSpPr>
        <xdr:cNvPr id="4" name="Text Box 11446">
          <a:extLst>
            <a:ext uri="{FF2B5EF4-FFF2-40B4-BE49-F238E27FC236}">
              <a16:creationId xmlns:a16="http://schemas.microsoft.com/office/drawing/2014/main" id="{00000000-0008-0000-1D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335280</xdr:colOff>
      <xdr:row>35</xdr:row>
      <xdr:rowOff>0</xdr:rowOff>
    </xdr:from>
    <xdr:ext cx="76200" cy="152400"/>
    <xdr:sp macro="" textlink="">
      <xdr:nvSpPr>
        <xdr:cNvPr id="5" name="Text Box 11446">
          <a:extLst>
            <a:ext uri="{FF2B5EF4-FFF2-40B4-BE49-F238E27FC236}">
              <a16:creationId xmlns:a16="http://schemas.microsoft.com/office/drawing/2014/main" id="{00000000-0008-0000-1D00-000005000000}"/>
            </a:ext>
          </a:extLst>
        </xdr:cNvPr>
        <xdr:cNvSpPr txBox="1">
          <a:spLocks noChangeArrowheads="1"/>
        </xdr:cNvSpPr>
      </xdr:nvSpPr>
      <xdr:spPr bwMode="auto">
        <a:xfrm>
          <a:off x="4767580" y="137033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35</xdr:row>
      <xdr:rowOff>0</xdr:rowOff>
    </xdr:from>
    <xdr:ext cx="76200" cy="152400"/>
    <xdr:sp macro="" textlink="">
      <xdr:nvSpPr>
        <xdr:cNvPr id="6" name="Text Box 11446">
          <a:extLst>
            <a:ext uri="{FF2B5EF4-FFF2-40B4-BE49-F238E27FC236}">
              <a16:creationId xmlns:a16="http://schemas.microsoft.com/office/drawing/2014/main" id="{00000000-0008-0000-1D00-000006000000}"/>
            </a:ext>
          </a:extLst>
        </xdr:cNvPr>
        <xdr:cNvSpPr txBox="1">
          <a:spLocks noChangeArrowheads="1"/>
        </xdr:cNvSpPr>
      </xdr:nvSpPr>
      <xdr:spPr bwMode="auto">
        <a:xfrm>
          <a:off x="4767580" y="137033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35</xdr:row>
      <xdr:rowOff>0</xdr:rowOff>
    </xdr:from>
    <xdr:ext cx="76200" cy="152400"/>
    <xdr:sp macro="" textlink="">
      <xdr:nvSpPr>
        <xdr:cNvPr id="7" name="Text Box 11446">
          <a:extLst>
            <a:ext uri="{FF2B5EF4-FFF2-40B4-BE49-F238E27FC236}">
              <a16:creationId xmlns:a16="http://schemas.microsoft.com/office/drawing/2014/main" id="{00000000-0008-0000-1D00-000007000000}"/>
            </a:ext>
          </a:extLst>
        </xdr:cNvPr>
        <xdr:cNvSpPr txBox="1">
          <a:spLocks noChangeArrowheads="1"/>
        </xdr:cNvSpPr>
      </xdr:nvSpPr>
      <xdr:spPr bwMode="auto">
        <a:xfrm>
          <a:off x="4767580" y="137033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36</xdr:row>
      <xdr:rowOff>0</xdr:rowOff>
    </xdr:from>
    <xdr:ext cx="76200" cy="152400"/>
    <xdr:sp macro="" textlink="">
      <xdr:nvSpPr>
        <xdr:cNvPr id="8" name="Text Box 11446">
          <a:extLst>
            <a:ext uri="{FF2B5EF4-FFF2-40B4-BE49-F238E27FC236}">
              <a16:creationId xmlns:a16="http://schemas.microsoft.com/office/drawing/2014/main" id="{00000000-0008-0000-1D00-000008000000}"/>
            </a:ext>
          </a:extLst>
        </xdr:cNvPr>
        <xdr:cNvSpPr txBox="1">
          <a:spLocks noChangeArrowheads="1"/>
        </xdr:cNvSpPr>
      </xdr:nvSpPr>
      <xdr:spPr bwMode="auto">
        <a:xfrm>
          <a:off x="4767580" y="13893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36</xdr:row>
      <xdr:rowOff>0</xdr:rowOff>
    </xdr:from>
    <xdr:ext cx="76200" cy="152400"/>
    <xdr:sp macro="" textlink="">
      <xdr:nvSpPr>
        <xdr:cNvPr id="9" name="Text Box 11446">
          <a:extLst>
            <a:ext uri="{FF2B5EF4-FFF2-40B4-BE49-F238E27FC236}">
              <a16:creationId xmlns:a16="http://schemas.microsoft.com/office/drawing/2014/main" id="{00000000-0008-0000-1D00-000009000000}"/>
            </a:ext>
          </a:extLst>
        </xdr:cNvPr>
        <xdr:cNvSpPr txBox="1">
          <a:spLocks noChangeArrowheads="1"/>
        </xdr:cNvSpPr>
      </xdr:nvSpPr>
      <xdr:spPr bwMode="auto">
        <a:xfrm>
          <a:off x="4767580" y="13893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36</xdr:row>
      <xdr:rowOff>0</xdr:rowOff>
    </xdr:from>
    <xdr:ext cx="76200" cy="152400"/>
    <xdr:sp macro="" textlink="">
      <xdr:nvSpPr>
        <xdr:cNvPr id="10" name="Text Box 11446">
          <a:extLst>
            <a:ext uri="{FF2B5EF4-FFF2-40B4-BE49-F238E27FC236}">
              <a16:creationId xmlns:a16="http://schemas.microsoft.com/office/drawing/2014/main" id="{00000000-0008-0000-1D00-00000A000000}"/>
            </a:ext>
          </a:extLst>
        </xdr:cNvPr>
        <xdr:cNvSpPr txBox="1">
          <a:spLocks noChangeArrowheads="1"/>
        </xdr:cNvSpPr>
      </xdr:nvSpPr>
      <xdr:spPr bwMode="auto">
        <a:xfrm>
          <a:off x="4767580" y="13893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8.xml><?xml version="1.0" encoding="utf-8"?>
<xdr:wsDr xmlns:xdr="http://schemas.openxmlformats.org/drawingml/2006/spreadsheetDrawing" xmlns:a="http://schemas.openxmlformats.org/drawingml/2006/main">
  <xdr:twoCellAnchor editAs="oneCell">
    <xdr:from>
      <xdr:col>3</xdr:col>
      <xdr:colOff>335280</xdr:colOff>
      <xdr:row>52</xdr:row>
      <xdr:rowOff>0</xdr:rowOff>
    </xdr:from>
    <xdr:to>
      <xdr:col>3</xdr:col>
      <xdr:colOff>411480</xdr:colOff>
      <xdr:row>52</xdr:row>
      <xdr:rowOff>152400</xdr:rowOff>
    </xdr:to>
    <xdr:sp macro="" textlink="">
      <xdr:nvSpPr>
        <xdr:cNvPr id="5" name="Text Box 11446">
          <a:extLst>
            <a:ext uri="{FF2B5EF4-FFF2-40B4-BE49-F238E27FC236}">
              <a16:creationId xmlns:a16="http://schemas.microsoft.com/office/drawing/2014/main" id="{00000000-0008-0000-1F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52</xdr:row>
      <xdr:rowOff>0</xdr:rowOff>
    </xdr:from>
    <xdr:to>
      <xdr:col>3</xdr:col>
      <xdr:colOff>411480</xdr:colOff>
      <xdr:row>52</xdr:row>
      <xdr:rowOff>152400</xdr:rowOff>
    </xdr:to>
    <xdr:sp macro="" textlink="">
      <xdr:nvSpPr>
        <xdr:cNvPr id="6" name="Text Box 11446">
          <a:extLst>
            <a:ext uri="{FF2B5EF4-FFF2-40B4-BE49-F238E27FC236}">
              <a16:creationId xmlns:a16="http://schemas.microsoft.com/office/drawing/2014/main" id="{00000000-0008-0000-1F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52</xdr:row>
      <xdr:rowOff>0</xdr:rowOff>
    </xdr:from>
    <xdr:to>
      <xdr:col>3</xdr:col>
      <xdr:colOff>411480</xdr:colOff>
      <xdr:row>52</xdr:row>
      <xdr:rowOff>152400</xdr:rowOff>
    </xdr:to>
    <xdr:sp macro="" textlink="">
      <xdr:nvSpPr>
        <xdr:cNvPr id="7" name="Text Box 11446">
          <a:extLst>
            <a:ext uri="{FF2B5EF4-FFF2-40B4-BE49-F238E27FC236}">
              <a16:creationId xmlns:a16="http://schemas.microsoft.com/office/drawing/2014/main" id="{00000000-0008-0000-1F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335280</xdr:colOff>
      <xdr:row>53</xdr:row>
      <xdr:rowOff>0</xdr:rowOff>
    </xdr:from>
    <xdr:ext cx="76200" cy="152400"/>
    <xdr:sp macro="" textlink="">
      <xdr:nvSpPr>
        <xdr:cNvPr id="11" name="Text Box 11446">
          <a:extLst>
            <a:ext uri="{FF2B5EF4-FFF2-40B4-BE49-F238E27FC236}">
              <a16:creationId xmlns:a16="http://schemas.microsoft.com/office/drawing/2014/main" id="{00000000-0008-0000-1F00-00000B000000}"/>
            </a:ext>
          </a:extLst>
        </xdr:cNvPr>
        <xdr:cNvSpPr txBox="1">
          <a:spLocks noChangeArrowheads="1"/>
        </xdr:cNvSpPr>
      </xdr:nvSpPr>
      <xdr:spPr bwMode="auto">
        <a:xfrm>
          <a:off x="4754880" y="10991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53</xdr:row>
      <xdr:rowOff>0</xdr:rowOff>
    </xdr:from>
    <xdr:ext cx="76200" cy="152400"/>
    <xdr:sp macro="" textlink="">
      <xdr:nvSpPr>
        <xdr:cNvPr id="12" name="Text Box 11446">
          <a:extLst>
            <a:ext uri="{FF2B5EF4-FFF2-40B4-BE49-F238E27FC236}">
              <a16:creationId xmlns:a16="http://schemas.microsoft.com/office/drawing/2014/main" id="{00000000-0008-0000-1F00-00000C000000}"/>
            </a:ext>
          </a:extLst>
        </xdr:cNvPr>
        <xdr:cNvSpPr txBox="1">
          <a:spLocks noChangeArrowheads="1"/>
        </xdr:cNvSpPr>
      </xdr:nvSpPr>
      <xdr:spPr bwMode="auto">
        <a:xfrm>
          <a:off x="4754880" y="10991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335280</xdr:colOff>
      <xdr:row>53</xdr:row>
      <xdr:rowOff>0</xdr:rowOff>
    </xdr:from>
    <xdr:ext cx="76200" cy="152400"/>
    <xdr:sp macro="" textlink="">
      <xdr:nvSpPr>
        <xdr:cNvPr id="13" name="Text Box 11446">
          <a:extLst>
            <a:ext uri="{FF2B5EF4-FFF2-40B4-BE49-F238E27FC236}">
              <a16:creationId xmlns:a16="http://schemas.microsoft.com/office/drawing/2014/main" id="{00000000-0008-0000-1F00-00000D000000}"/>
            </a:ext>
          </a:extLst>
        </xdr:cNvPr>
        <xdr:cNvSpPr txBox="1">
          <a:spLocks noChangeArrowheads="1"/>
        </xdr:cNvSpPr>
      </xdr:nvSpPr>
      <xdr:spPr bwMode="auto">
        <a:xfrm>
          <a:off x="4754880" y="1099185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9.xml><?xml version="1.0" encoding="utf-8"?>
<xdr:wsDr xmlns:xdr="http://schemas.openxmlformats.org/drawingml/2006/spreadsheetDrawing" xmlns:a="http://schemas.openxmlformats.org/drawingml/2006/main">
  <xdr:twoCellAnchor editAs="oneCell">
    <xdr:from>
      <xdr:col>4</xdr:col>
      <xdr:colOff>335280</xdr:colOff>
      <xdr:row>45</xdr:row>
      <xdr:rowOff>0</xdr:rowOff>
    </xdr:from>
    <xdr:to>
      <xdr:col>4</xdr:col>
      <xdr:colOff>411480</xdr:colOff>
      <xdr:row>45</xdr:row>
      <xdr:rowOff>152400</xdr:rowOff>
    </xdr:to>
    <xdr:sp macro="" textlink="">
      <xdr:nvSpPr>
        <xdr:cNvPr id="2" name="Text Box 11446">
          <a:extLst>
            <a:ext uri="{FF2B5EF4-FFF2-40B4-BE49-F238E27FC236}">
              <a16:creationId xmlns:a16="http://schemas.microsoft.com/office/drawing/2014/main" id="{00000000-0008-0000-21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45</xdr:row>
      <xdr:rowOff>0</xdr:rowOff>
    </xdr:from>
    <xdr:to>
      <xdr:col>4</xdr:col>
      <xdr:colOff>411480</xdr:colOff>
      <xdr:row>45</xdr:row>
      <xdr:rowOff>152400</xdr:rowOff>
    </xdr:to>
    <xdr:sp macro="" textlink="">
      <xdr:nvSpPr>
        <xdr:cNvPr id="3" name="Text Box 11446">
          <a:extLst>
            <a:ext uri="{FF2B5EF4-FFF2-40B4-BE49-F238E27FC236}">
              <a16:creationId xmlns:a16="http://schemas.microsoft.com/office/drawing/2014/main" id="{00000000-0008-0000-21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335280</xdr:colOff>
      <xdr:row>45</xdr:row>
      <xdr:rowOff>0</xdr:rowOff>
    </xdr:from>
    <xdr:to>
      <xdr:col>4</xdr:col>
      <xdr:colOff>411480</xdr:colOff>
      <xdr:row>45</xdr:row>
      <xdr:rowOff>152400</xdr:rowOff>
    </xdr:to>
    <xdr:sp macro="" textlink="">
      <xdr:nvSpPr>
        <xdr:cNvPr id="4" name="Text Box 11446">
          <a:extLst>
            <a:ext uri="{FF2B5EF4-FFF2-40B4-BE49-F238E27FC236}">
              <a16:creationId xmlns:a16="http://schemas.microsoft.com/office/drawing/2014/main" id="{00000000-0008-0000-21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335280</xdr:colOff>
      <xdr:row>33</xdr:row>
      <xdr:rowOff>0</xdr:rowOff>
    </xdr:from>
    <xdr:to>
      <xdr:col>3</xdr:col>
      <xdr:colOff>411480</xdr:colOff>
      <xdr:row>33</xdr:row>
      <xdr:rowOff>152400</xdr:rowOff>
    </xdr:to>
    <xdr:sp macro="" textlink="">
      <xdr:nvSpPr>
        <xdr:cNvPr id="5" name="Text Box 11446">
          <a:extLst>
            <a:ext uri="{FF2B5EF4-FFF2-40B4-BE49-F238E27FC236}">
              <a16:creationId xmlns:a16="http://schemas.microsoft.com/office/drawing/2014/main" id="{00000000-0008-0000-0400-000005000000}"/>
            </a:ext>
          </a:extLst>
        </xdr:cNvPr>
        <xdr:cNvSpPr txBox="1">
          <a:spLocks noChangeArrowheads="1"/>
        </xdr:cNvSpPr>
      </xdr:nvSpPr>
      <xdr:spPr bwMode="auto">
        <a:xfrm>
          <a:off x="4869180" y="946404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33</xdr:row>
      <xdr:rowOff>0</xdr:rowOff>
    </xdr:from>
    <xdr:to>
      <xdr:col>3</xdr:col>
      <xdr:colOff>411480</xdr:colOff>
      <xdr:row>33</xdr:row>
      <xdr:rowOff>152400</xdr:rowOff>
    </xdr:to>
    <xdr:sp macro="" textlink="">
      <xdr:nvSpPr>
        <xdr:cNvPr id="6" name="Text Box 11446">
          <a:extLst>
            <a:ext uri="{FF2B5EF4-FFF2-40B4-BE49-F238E27FC236}">
              <a16:creationId xmlns:a16="http://schemas.microsoft.com/office/drawing/2014/main" id="{00000000-0008-0000-0400-000006000000}"/>
            </a:ext>
          </a:extLst>
        </xdr:cNvPr>
        <xdr:cNvSpPr txBox="1">
          <a:spLocks noChangeArrowheads="1"/>
        </xdr:cNvSpPr>
      </xdr:nvSpPr>
      <xdr:spPr bwMode="auto">
        <a:xfrm>
          <a:off x="4869180" y="946404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33</xdr:row>
      <xdr:rowOff>0</xdr:rowOff>
    </xdr:from>
    <xdr:to>
      <xdr:col>3</xdr:col>
      <xdr:colOff>411480</xdr:colOff>
      <xdr:row>33</xdr:row>
      <xdr:rowOff>152400</xdr:rowOff>
    </xdr:to>
    <xdr:sp macro="" textlink="">
      <xdr:nvSpPr>
        <xdr:cNvPr id="7" name="Text Box 11446">
          <a:extLst>
            <a:ext uri="{FF2B5EF4-FFF2-40B4-BE49-F238E27FC236}">
              <a16:creationId xmlns:a16="http://schemas.microsoft.com/office/drawing/2014/main" id="{00000000-0008-0000-0400-000007000000}"/>
            </a:ext>
          </a:extLst>
        </xdr:cNvPr>
        <xdr:cNvSpPr txBox="1">
          <a:spLocks noChangeArrowheads="1"/>
        </xdr:cNvSpPr>
      </xdr:nvSpPr>
      <xdr:spPr bwMode="auto">
        <a:xfrm>
          <a:off x="4869180" y="946404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335280</xdr:colOff>
      <xdr:row>28</xdr:row>
      <xdr:rowOff>0</xdr:rowOff>
    </xdr:from>
    <xdr:to>
      <xdr:col>3</xdr:col>
      <xdr:colOff>411480</xdr:colOff>
      <xdr:row>28</xdr:row>
      <xdr:rowOff>152400</xdr:rowOff>
    </xdr:to>
    <xdr:sp macro="" textlink="">
      <xdr:nvSpPr>
        <xdr:cNvPr id="2" name="Text Box 11446">
          <a:extLst>
            <a:ext uri="{FF2B5EF4-FFF2-40B4-BE49-F238E27FC236}">
              <a16:creationId xmlns:a16="http://schemas.microsoft.com/office/drawing/2014/main" id="{00000000-0008-0000-2200-000002000000}"/>
            </a:ext>
          </a:extLst>
        </xdr:cNvPr>
        <xdr:cNvSpPr txBox="1">
          <a:spLocks noChangeArrowheads="1"/>
        </xdr:cNvSpPr>
      </xdr:nvSpPr>
      <xdr:spPr bwMode="auto">
        <a:xfrm>
          <a:off x="4892040" y="250317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28</xdr:row>
      <xdr:rowOff>0</xdr:rowOff>
    </xdr:from>
    <xdr:to>
      <xdr:col>3</xdr:col>
      <xdr:colOff>411480</xdr:colOff>
      <xdr:row>28</xdr:row>
      <xdr:rowOff>152400</xdr:rowOff>
    </xdr:to>
    <xdr:sp macro="" textlink="">
      <xdr:nvSpPr>
        <xdr:cNvPr id="3" name="Text Box 11446">
          <a:extLst>
            <a:ext uri="{FF2B5EF4-FFF2-40B4-BE49-F238E27FC236}">
              <a16:creationId xmlns:a16="http://schemas.microsoft.com/office/drawing/2014/main" id="{00000000-0008-0000-2200-000003000000}"/>
            </a:ext>
          </a:extLst>
        </xdr:cNvPr>
        <xdr:cNvSpPr txBox="1">
          <a:spLocks noChangeArrowheads="1"/>
        </xdr:cNvSpPr>
      </xdr:nvSpPr>
      <xdr:spPr bwMode="auto">
        <a:xfrm>
          <a:off x="4892040" y="250317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28</xdr:row>
      <xdr:rowOff>0</xdr:rowOff>
    </xdr:from>
    <xdr:to>
      <xdr:col>3</xdr:col>
      <xdr:colOff>411480</xdr:colOff>
      <xdr:row>28</xdr:row>
      <xdr:rowOff>152400</xdr:rowOff>
    </xdr:to>
    <xdr:sp macro="" textlink="">
      <xdr:nvSpPr>
        <xdr:cNvPr id="4" name="Text Box 11446">
          <a:extLst>
            <a:ext uri="{FF2B5EF4-FFF2-40B4-BE49-F238E27FC236}">
              <a16:creationId xmlns:a16="http://schemas.microsoft.com/office/drawing/2014/main" id="{00000000-0008-0000-2200-000004000000}"/>
            </a:ext>
          </a:extLst>
        </xdr:cNvPr>
        <xdr:cNvSpPr txBox="1">
          <a:spLocks noChangeArrowheads="1"/>
        </xdr:cNvSpPr>
      </xdr:nvSpPr>
      <xdr:spPr bwMode="auto">
        <a:xfrm>
          <a:off x="4892040" y="250317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335280</xdr:colOff>
      <xdr:row>120</xdr:row>
      <xdr:rowOff>0</xdr:rowOff>
    </xdr:from>
    <xdr:to>
      <xdr:col>3</xdr:col>
      <xdr:colOff>411480</xdr:colOff>
      <xdr:row>120</xdr:row>
      <xdr:rowOff>152400</xdr:rowOff>
    </xdr:to>
    <xdr:sp macro="" textlink="">
      <xdr:nvSpPr>
        <xdr:cNvPr id="5" name="Text Box 11446">
          <a:extLst>
            <a:ext uri="{FF2B5EF4-FFF2-40B4-BE49-F238E27FC236}">
              <a16:creationId xmlns:a16="http://schemas.microsoft.com/office/drawing/2014/main" id="{00000000-0008-0000-05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120</xdr:row>
      <xdr:rowOff>0</xdr:rowOff>
    </xdr:from>
    <xdr:to>
      <xdr:col>3</xdr:col>
      <xdr:colOff>411480</xdr:colOff>
      <xdr:row>120</xdr:row>
      <xdr:rowOff>152400</xdr:rowOff>
    </xdr:to>
    <xdr:sp macro="" textlink="">
      <xdr:nvSpPr>
        <xdr:cNvPr id="6" name="Text Box 11446">
          <a:extLst>
            <a:ext uri="{FF2B5EF4-FFF2-40B4-BE49-F238E27FC236}">
              <a16:creationId xmlns:a16="http://schemas.microsoft.com/office/drawing/2014/main" id="{00000000-0008-0000-05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120</xdr:row>
      <xdr:rowOff>0</xdr:rowOff>
    </xdr:from>
    <xdr:to>
      <xdr:col>3</xdr:col>
      <xdr:colOff>411480</xdr:colOff>
      <xdr:row>120</xdr:row>
      <xdr:rowOff>152400</xdr:rowOff>
    </xdr:to>
    <xdr:sp macro="" textlink="">
      <xdr:nvSpPr>
        <xdr:cNvPr id="7" name="Text Box 11446">
          <a:extLst>
            <a:ext uri="{FF2B5EF4-FFF2-40B4-BE49-F238E27FC236}">
              <a16:creationId xmlns:a16="http://schemas.microsoft.com/office/drawing/2014/main" id="{00000000-0008-0000-05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335280</xdr:colOff>
      <xdr:row>65</xdr:row>
      <xdr:rowOff>0</xdr:rowOff>
    </xdr:from>
    <xdr:to>
      <xdr:col>3</xdr:col>
      <xdr:colOff>411480</xdr:colOff>
      <xdr:row>65</xdr:row>
      <xdr:rowOff>152400</xdr:rowOff>
    </xdr:to>
    <xdr:sp macro="" textlink="">
      <xdr:nvSpPr>
        <xdr:cNvPr id="5" name="Text Box 11446">
          <a:extLst>
            <a:ext uri="{FF2B5EF4-FFF2-40B4-BE49-F238E27FC236}">
              <a16:creationId xmlns:a16="http://schemas.microsoft.com/office/drawing/2014/main" id="{00000000-0008-0000-06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65</xdr:row>
      <xdr:rowOff>0</xdr:rowOff>
    </xdr:from>
    <xdr:to>
      <xdr:col>3</xdr:col>
      <xdr:colOff>411480</xdr:colOff>
      <xdr:row>65</xdr:row>
      <xdr:rowOff>152400</xdr:rowOff>
    </xdr:to>
    <xdr:sp macro="" textlink="">
      <xdr:nvSpPr>
        <xdr:cNvPr id="6" name="Text Box 11446">
          <a:extLst>
            <a:ext uri="{FF2B5EF4-FFF2-40B4-BE49-F238E27FC236}">
              <a16:creationId xmlns:a16="http://schemas.microsoft.com/office/drawing/2014/main" id="{00000000-0008-0000-06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65</xdr:row>
      <xdr:rowOff>0</xdr:rowOff>
    </xdr:from>
    <xdr:to>
      <xdr:col>3</xdr:col>
      <xdr:colOff>411480</xdr:colOff>
      <xdr:row>65</xdr:row>
      <xdr:rowOff>152400</xdr:rowOff>
    </xdr:to>
    <xdr:sp macro="" textlink="">
      <xdr:nvSpPr>
        <xdr:cNvPr id="7" name="Text Box 11446">
          <a:extLst>
            <a:ext uri="{FF2B5EF4-FFF2-40B4-BE49-F238E27FC236}">
              <a16:creationId xmlns:a16="http://schemas.microsoft.com/office/drawing/2014/main" id="{00000000-0008-0000-06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335280</xdr:colOff>
      <xdr:row>81</xdr:row>
      <xdr:rowOff>0</xdr:rowOff>
    </xdr:from>
    <xdr:to>
      <xdr:col>3</xdr:col>
      <xdr:colOff>411480</xdr:colOff>
      <xdr:row>81</xdr:row>
      <xdr:rowOff>152400</xdr:rowOff>
    </xdr:to>
    <xdr:sp macro="" textlink="">
      <xdr:nvSpPr>
        <xdr:cNvPr id="2" name="Text Box 11446">
          <a:extLst>
            <a:ext uri="{FF2B5EF4-FFF2-40B4-BE49-F238E27FC236}">
              <a16:creationId xmlns:a16="http://schemas.microsoft.com/office/drawing/2014/main" id="{00000000-0008-0000-0700-000002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81</xdr:row>
      <xdr:rowOff>0</xdr:rowOff>
    </xdr:from>
    <xdr:to>
      <xdr:col>3</xdr:col>
      <xdr:colOff>411480</xdr:colOff>
      <xdr:row>81</xdr:row>
      <xdr:rowOff>152400</xdr:rowOff>
    </xdr:to>
    <xdr:sp macro="" textlink="">
      <xdr:nvSpPr>
        <xdr:cNvPr id="3" name="Text Box 11446">
          <a:extLst>
            <a:ext uri="{FF2B5EF4-FFF2-40B4-BE49-F238E27FC236}">
              <a16:creationId xmlns:a16="http://schemas.microsoft.com/office/drawing/2014/main" id="{00000000-0008-0000-0700-000003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81</xdr:row>
      <xdr:rowOff>0</xdr:rowOff>
    </xdr:from>
    <xdr:to>
      <xdr:col>3</xdr:col>
      <xdr:colOff>411480</xdr:colOff>
      <xdr:row>81</xdr:row>
      <xdr:rowOff>152400</xdr:rowOff>
    </xdr:to>
    <xdr:sp macro="" textlink="">
      <xdr:nvSpPr>
        <xdr:cNvPr id="4" name="Text Box 11446">
          <a:extLst>
            <a:ext uri="{FF2B5EF4-FFF2-40B4-BE49-F238E27FC236}">
              <a16:creationId xmlns:a16="http://schemas.microsoft.com/office/drawing/2014/main" id="{00000000-0008-0000-0700-000004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335280</xdr:colOff>
      <xdr:row>77</xdr:row>
      <xdr:rowOff>0</xdr:rowOff>
    </xdr:from>
    <xdr:to>
      <xdr:col>3</xdr:col>
      <xdr:colOff>411480</xdr:colOff>
      <xdr:row>77</xdr:row>
      <xdr:rowOff>152400</xdr:rowOff>
    </xdr:to>
    <xdr:sp macro="" textlink="">
      <xdr:nvSpPr>
        <xdr:cNvPr id="5" name="Text Box 11446">
          <a:extLst>
            <a:ext uri="{FF2B5EF4-FFF2-40B4-BE49-F238E27FC236}">
              <a16:creationId xmlns:a16="http://schemas.microsoft.com/office/drawing/2014/main" id="{00000000-0008-0000-08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77</xdr:row>
      <xdr:rowOff>0</xdr:rowOff>
    </xdr:from>
    <xdr:to>
      <xdr:col>3</xdr:col>
      <xdr:colOff>411480</xdr:colOff>
      <xdr:row>77</xdr:row>
      <xdr:rowOff>152400</xdr:rowOff>
    </xdr:to>
    <xdr:sp macro="" textlink="">
      <xdr:nvSpPr>
        <xdr:cNvPr id="6" name="Text Box 11446">
          <a:extLst>
            <a:ext uri="{FF2B5EF4-FFF2-40B4-BE49-F238E27FC236}">
              <a16:creationId xmlns:a16="http://schemas.microsoft.com/office/drawing/2014/main" id="{00000000-0008-0000-08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77</xdr:row>
      <xdr:rowOff>0</xdr:rowOff>
    </xdr:from>
    <xdr:to>
      <xdr:col>3</xdr:col>
      <xdr:colOff>411480</xdr:colOff>
      <xdr:row>77</xdr:row>
      <xdr:rowOff>152400</xdr:rowOff>
    </xdr:to>
    <xdr:sp macro="" textlink="">
      <xdr:nvSpPr>
        <xdr:cNvPr id="7" name="Text Box 11446">
          <a:extLst>
            <a:ext uri="{FF2B5EF4-FFF2-40B4-BE49-F238E27FC236}">
              <a16:creationId xmlns:a16="http://schemas.microsoft.com/office/drawing/2014/main" id="{00000000-0008-0000-08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335280</xdr:colOff>
      <xdr:row>128</xdr:row>
      <xdr:rowOff>0</xdr:rowOff>
    </xdr:from>
    <xdr:to>
      <xdr:col>3</xdr:col>
      <xdr:colOff>411480</xdr:colOff>
      <xdr:row>128</xdr:row>
      <xdr:rowOff>152400</xdr:rowOff>
    </xdr:to>
    <xdr:sp macro="" textlink="">
      <xdr:nvSpPr>
        <xdr:cNvPr id="5" name="Text Box 11446">
          <a:extLst>
            <a:ext uri="{FF2B5EF4-FFF2-40B4-BE49-F238E27FC236}">
              <a16:creationId xmlns:a16="http://schemas.microsoft.com/office/drawing/2014/main" id="{00000000-0008-0000-09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128</xdr:row>
      <xdr:rowOff>0</xdr:rowOff>
    </xdr:from>
    <xdr:to>
      <xdr:col>3</xdr:col>
      <xdr:colOff>411480</xdr:colOff>
      <xdr:row>128</xdr:row>
      <xdr:rowOff>152400</xdr:rowOff>
    </xdr:to>
    <xdr:sp macro="" textlink="">
      <xdr:nvSpPr>
        <xdr:cNvPr id="6" name="Text Box 11446">
          <a:extLst>
            <a:ext uri="{FF2B5EF4-FFF2-40B4-BE49-F238E27FC236}">
              <a16:creationId xmlns:a16="http://schemas.microsoft.com/office/drawing/2014/main" id="{00000000-0008-0000-09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128</xdr:row>
      <xdr:rowOff>0</xdr:rowOff>
    </xdr:from>
    <xdr:to>
      <xdr:col>3</xdr:col>
      <xdr:colOff>411480</xdr:colOff>
      <xdr:row>128</xdr:row>
      <xdr:rowOff>152400</xdr:rowOff>
    </xdr:to>
    <xdr:sp macro="" textlink="">
      <xdr:nvSpPr>
        <xdr:cNvPr id="7" name="Text Box 11446">
          <a:extLst>
            <a:ext uri="{FF2B5EF4-FFF2-40B4-BE49-F238E27FC236}">
              <a16:creationId xmlns:a16="http://schemas.microsoft.com/office/drawing/2014/main" id="{00000000-0008-0000-09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335280</xdr:colOff>
      <xdr:row>114</xdr:row>
      <xdr:rowOff>0</xdr:rowOff>
    </xdr:from>
    <xdr:to>
      <xdr:col>3</xdr:col>
      <xdr:colOff>411480</xdr:colOff>
      <xdr:row>114</xdr:row>
      <xdr:rowOff>152400</xdr:rowOff>
    </xdr:to>
    <xdr:sp macro="" textlink="">
      <xdr:nvSpPr>
        <xdr:cNvPr id="5" name="Text Box 11446">
          <a:extLst>
            <a:ext uri="{FF2B5EF4-FFF2-40B4-BE49-F238E27FC236}">
              <a16:creationId xmlns:a16="http://schemas.microsoft.com/office/drawing/2014/main" id="{00000000-0008-0000-0A00-000005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114</xdr:row>
      <xdr:rowOff>0</xdr:rowOff>
    </xdr:from>
    <xdr:to>
      <xdr:col>3</xdr:col>
      <xdr:colOff>411480</xdr:colOff>
      <xdr:row>114</xdr:row>
      <xdr:rowOff>152400</xdr:rowOff>
    </xdr:to>
    <xdr:sp macro="" textlink="">
      <xdr:nvSpPr>
        <xdr:cNvPr id="6" name="Text Box 11446">
          <a:extLst>
            <a:ext uri="{FF2B5EF4-FFF2-40B4-BE49-F238E27FC236}">
              <a16:creationId xmlns:a16="http://schemas.microsoft.com/office/drawing/2014/main" id="{00000000-0008-0000-0A00-000006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335280</xdr:colOff>
      <xdr:row>114</xdr:row>
      <xdr:rowOff>0</xdr:rowOff>
    </xdr:from>
    <xdr:to>
      <xdr:col>3</xdr:col>
      <xdr:colOff>411480</xdr:colOff>
      <xdr:row>114</xdr:row>
      <xdr:rowOff>152400</xdr:rowOff>
    </xdr:to>
    <xdr:sp macro="" textlink="">
      <xdr:nvSpPr>
        <xdr:cNvPr id="7" name="Text Box 11446">
          <a:extLst>
            <a:ext uri="{FF2B5EF4-FFF2-40B4-BE49-F238E27FC236}">
              <a16:creationId xmlns:a16="http://schemas.microsoft.com/office/drawing/2014/main" id="{00000000-0008-0000-0A00-000007000000}"/>
            </a:ext>
          </a:extLst>
        </xdr:cNvPr>
        <xdr:cNvSpPr txBox="1">
          <a:spLocks noChangeArrowheads="1"/>
        </xdr:cNvSpPr>
      </xdr:nvSpPr>
      <xdr:spPr bwMode="auto">
        <a:xfrm>
          <a:off x="4861560" y="80772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40"/>
  <sheetViews>
    <sheetView showZeros="0" zoomScale="75" zoomScaleNormal="75" zoomScaleSheetLayoutView="100" workbookViewId="0">
      <selection activeCell="E19" sqref="E19:G31"/>
    </sheetView>
  </sheetViews>
  <sheetFormatPr defaultColWidth="9.140625" defaultRowHeight="15"/>
  <cols>
    <col min="1" max="1" width="26.140625" style="10" customWidth="1"/>
    <col min="2" max="2" width="52.85546875" style="10" customWidth="1"/>
    <col min="3" max="3" width="19.42578125" style="10" customWidth="1"/>
    <col min="4" max="16384" width="9.140625" style="12"/>
  </cols>
  <sheetData>
    <row r="1" spans="1:3" ht="15.75">
      <c r="C1" s="13" t="s">
        <v>0</v>
      </c>
    </row>
    <row r="2" spans="1:3" ht="15.75">
      <c r="C2" s="13" t="s">
        <v>1</v>
      </c>
    </row>
    <row r="3" spans="1:3">
      <c r="C3" s="11" t="s">
        <v>2</v>
      </c>
    </row>
    <row r="4" spans="1:3" ht="15.75">
      <c r="C4" s="13"/>
    </row>
    <row r="5" spans="1:3" ht="15.75">
      <c r="C5" s="13" t="s">
        <v>3</v>
      </c>
    </row>
    <row r="6" spans="1:3" ht="15.75">
      <c r="C6" s="13" t="s">
        <v>116</v>
      </c>
    </row>
    <row r="7" spans="1:3" ht="15.75">
      <c r="A7" s="14"/>
    </row>
    <row r="8" spans="1:3" ht="15.75">
      <c r="A8" s="14"/>
    </row>
    <row r="9" spans="1:3" ht="18.75">
      <c r="A9" s="838" t="s">
        <v>4</v>
      </c>
      <c r="B9" s="839"/>
      <c r="C9" s="840"/>
    </row>
    <row r="10" spans="1:3" ht="15.75">
      <c r="A10" s="296"/>
      <c r="B10" s="296"/>
      <c r="C10" s="297"/>
    </row>
    <row r="11" spans="1:3" ht="15.75">
      <c r="A11" s="302" t="s">
        <v>8</v>
      </c>
      <c r="B11" s="841" t="s">
        <v>117</v>
      </c>
      <c r="C11" s="841"/>
    </row>
    <row r="12" spans="1:3" s="44" customFormat="1" ht="15" customHeight="1">
      <c r="A12" s="302" t="s">
        <v>28</v>
      </c>
      <c r="B12" s="841" t="s">
        <v>118</v>
      </c>
      <c r="C12" s="841"/>
    </row>
    <row r="13" spans="1:3" ht="15.75">
      <c r="A13" s="302" t="s">
        <v>9</v>
      </c>
      <c r="B13" s="841" t="s">
        <v>50</v>
      </c>
      <c r="C13" s="841"/>
    </row>
    <row r="14" spans="1:3" ht="15.75">
      <c r="A14" s="302" t="s">
        <v>30</v>
      </c>
      <c r="B14" s="847"/>
      <c r="C14" s="847"/>
    </row>
    <row r="15" spans="1:3" ht="15.75">
      <c r="A15" s="302" t="s">
        <v>54</v>
      </c>
      <c r="B15" s="296"/>
      <c r="C15" s="297"/>
    </row>
    <row r="16" spans="1:3" ht="15.75">
      <c r="A16" s="298" t="s">
        <v>51</v>
      </c>
      <c r="B16" s="296"/>
      <c r="C16" s="296"/>
    </row>
    <row r="17" spans="1:8" s="15" customFormat="1" ht="15" customHeight="1">
      <c r="A17" s="842" t="s">
        <v>32</v>
      </c>
      <c r="B17" s="844" t="s">
        <v>5</v>
      </c>
      <c r="C17" s="845" t="s">
        <v>48</v>
      </c>
    </row>
    <row r="18" spans="1:8" s="15" customFormat="1" ht="15" customHeight="1">
      <c r="A18" s="843"/>
      <c r="B18" s="844"/>
      <c r="C18" s="846"/>
    </row>
    <row r="19" spans="1:8" s="15" customFormat="1">
      <c r="A19" s="328">
        <v>1</v>
      </c>
      <c r="B19" s="329" t="s">
        <v>119</v>
      </c>
      <c r="C19" s="330"/>
    </row>
    <row r="20" spans="1:8" s="15" customFormat="1">
      <c r="A20" s="331">
        <f>A19+1</f>
        <v>2</v>
      </c>
      <c r="B20" s="332" t="s">
        <v>120</v>
      </c>
      <c r="C20" s="333"/>
    </row>
    <row r="21" spans="1:8" s="15" customFormat="1">
      <c r="A21" s="331">
        <f>A20+1</f>
        <v>3</v>
      </c>
      <c r="B21" s="332" t="s">
        <v>121</v>
      </c>
      <c r="C21" s="333"/>
    </row>
    <row r="22" spans="1:8" s="15" customFormat="1">
      <c r="A22" s="334">
        <f>A21+1</f>
        <v>4</v>
      </c>
      <c r="B22" s="335" t="s">
        <v>122</v>
      </c>
      <c r="C22" s="336"/>
    </row>
    <row r="23" spans="1:8" s="15" customFormat="1">
      <c r="A23" s="325"/>
      <c r="B23" s="326" t="s">
        <v>19</v>
      </c>
      <c r="C23" s="202"/>
      <c r="H23" s="203"/>
    </row>
    <row r="24" spans="1:8" s="15" customFormat="1">
      <c r="A24" s="325"/>
      <c r="B24" s="327" t="s">
        <v>123</v>
      </c>
      <c r="C24" s="202"/>
    </row>
    <row r="25" spans="1:8" s="8" customFormat="1" ht="15.75">
      <c r="A25" s="127"/>
      <c r="B25" s="128" t="s">
        <v>6</v>
      </c>
      <c r="C25" s="129"/>
      <c r="E25" s="15"/>
      <c r="F25" s="15"/>
      <c r="G25" s="15"/>
    </row>
    <row r="26" spans="1:8" s="8" customFormat="1" ht="15.75">
      <c r="A26" s="127"/>
      <c r="B26" s="130" t="s">
        <v>33</v>
      </c>
      <c r="C26" s="129"/>
      <c r="E26" s="15"/>
      <c r="F26" s="15"/>
      <c r="G26" s="15"/>
    </row>
    <row r="27" spans="1:8" s="8" customFormat="1" ht="15.75">
      <c r="A27" s="127"/>
      <c r="B27" s="128" t="s">
        <v>34</v>
      </c>
      <c r="C27" s="129"/>
      <c r="E27" s="15"/>
      <c r="F27" s="15"/>
      <c r="G27" s="15"/>
    </row>
    <row r="28" spans="1:8" s="15" customFormat="1" ht="16.5">
      <c r="A28" s="16"/>
      <c r="B28" s="16"/>
      <c r="C28" s="17"/>
    </row>
    <row r="29" spans="1:8" s="15" customFormat="1" ht="16.5">
      <c r="A29" s="16"/>
      <c r="B29" s="16"/>
      <c r="C29" s="17"/>
    </row>
    <row r="30" spans="1:8" s="15" customFormat="1">
      <c r="A30" s="18"/>
      <c r="B30" s="19"/>
      <c r="C30" s="20"/>
    </row>
    <row r="31" spans="1:8" s="8" customFormat="1">
      <c r="A31" s="33" t="s">
        <v>7</v>
      </c>
      <c r="B31" s="22"/>
      <c r="C31" s="23"/>
      <c r="E31" s="15"/>
      <c r="F31" s="15"/>
      <c r="G31" s="15"/>
    </row>
    <row r="32" spans="1:8" s="8" customFormat="1">
      <c r="A32" s="22"/>
      <c r="B32" s="24"/>
      <c r="C32" s="24"/>
    </row>
    <row r="33" spans="1:3" s="8" customFormat="1">
      <c r="A33" s="21"/>
      <c r="B33" s="25"/>
      <c r="C33" s="26"/>
    </row>
    <row r="34" spans="1:3" s="8" customFormat="1">
      <c r="A34" s="21"/>
      <c r="B34" s="25"/>
      <c r="C34" s="26"/>
    </row>
    <row r="35" spans="1:3" s="8" customFormat="1">
      <c r="A35" s="21"/>
      <c r="B35" s="25"/>
      <c r="C35" s="26"/>
    </row>
    <row r="36" spans="1:3" s="8" customFormat="1">
      <c r="A36" s="27"/>
      <c r="C36" s="25"/>
    </row>
    <row r="37" spans="1:3" s="15" customFormat="1">
      <c r="A37" s="28"/>
      <c r="B37" s="29"/>
      <c r="C37" s="19"/>
    </row>
    <row r="38" spans="1:3" s="8" customFormat="1">
      <c r="A38" s="30"/>
      <c r="B38" s="31"/>
      <c r="C38" s="24"/>
    </row>
    <row r="39" spans="1:3" s="8" customFormat="1">
      <c r="A39" s="28"/>
      <c r="B39" s="32"/>
      <c r="C39" s="26"/>
    </row>
    <row r="40" spans="1:3" s="15" customFormat="1">
      <c r="A40" s="19"/>
      <c r="B40" s="19"/>
      <c r="C40" s="19"/>
    </row>
  </sheetData>
  <mergeCells count="8">
    <mergeCell ref="A9:C9"/>
    <mergeCell ref="B12:C12"/>
    <mergeCell ref="A17:A18"/>
    <mergeCell ref="B17:B18"/>
    <mergeCell ref="C17:C18"/>
    <mergeCell ref="B11:C11"/>
    <mergeCell ref="B13:C13"/>
    <mergeCell ref="B14:C14"/>
  </mergeCells>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Q134"/>
  <sheetViews>
    <sheetView showZeros="0" zoomScale="75" zoomScaleNormal="75" workbookViewId="0">
      <selection activeCell="E12" sqref="E12"/>
    </sheetView>
  </sheetViews>
  <sheetFormatPr defaultColWidth="9.140625" defaultRowHeight="15"/>
  <cols>
    <col min="1" max="1" width="8.85546875" style="85" customWidth="1"/>
    <col min="2" max="2" width="11.85546875" style="85" customWidth="1"/>
    <col min="3" max="3" width="45.7109375" style="88" customWidth="1"/>
    <col min="4" max="4" width="8.7109375" style="60" customWidth="1"/>
    <col min="5" max="5" width="8.7109375" style="102" customWidth="1"/>
    <col min="6" max="11" width="8.7109375" style="60" customWidth="1"/>
    <col min="12" max="16" width="12.7109375" style="60" customWidth="1"/>
    <col min="17" max="17" width="9.140625" style="189"/>
    <col min="18" max="16384" width="9.140625" style="60"/>
  </cols>
  <sheetData>
    <row r="1" spans="1:17" s="59" customFormat="1" ht="15.75">
      <c r="A1" s="875" t="s">
        <v>61</v>
      </c>
      <c r="B1" s="875"/>
      <c r="C1" s="875"/>
      <c r="D1" s="875"/>
      <c r="E1" s="875"/>
      <c r="F1" s="875"/>
      <c r="G1" s="875"/>
      <c r="H1" s="875"/>
      <c r="I1" s="875"/>
      <c r="J1" s="875"/>
      <c r="K1" s="875"/>
      <c r="L1" s="875"/>
      <c r="M1" s="875"/>
      <c r="N1" s="875"/>
      <c r="O1" s="875"/>
      <c r="P1" s="875"/>
      <c r="Q1" s="188"/>
    </row>
    <row r="2" spans="1:17" s="59" customFormat="1" ht="15.75">
      <c r="A2" s="899" t="s">
        <v>137</v>
      </c>
      <c r="B2" s="899"/>
      <c r="C2" s="899"/>
      <c r="D2" s="899"/>
      <c r="E2" s="899"/>
      <c r="F2" s="899"/>
      <c r="G2" s="899"/>
      <c r="H2" s="899"/>
      <c r="I2" s="899"/>
      <c r="J2" s="899"/>
      <c r="K2" s="899"/>
      <c r="L2" s="899"/>
      <c r="M2" s="899"/>
      <c r="N2" s="899"/>
      <c r="O2" s="899"/>
      <c r="P2" s="899"/>
      <c r="Q2" s="188"/>
    </row>
    <row r="3" spans="1:17" s="59" customFormat="1" ht="15.6" customHeight="1">
      <c r="A3" s="876" t="s">
        <v>10</v>
      </c>
      <c r="B3" s="876"/>
      <c r="C3" s="859" t="s">
        <v>117</v>
      </c>
      <c r="D3" s="859"/>
      <c r="E3" s="859"/>
      <c r="F3" s="859"/>
      <c r="G3" s="859"/>
      <c r="H3" s="859"/>
      <c r="I3" s="859"/>
      <c r="J3" s="859"/>
      <c r="K3" s="859"/>
      <c r="L3" s="859"/>
      <c r="M3" s="859"/>
      <c r="N3" s="859"/>
      <c r="O3" s="859"/>
      <c r="P3" s="859"/>
      <c r="Q3" s="188"/>
    </row>
    <row r="4" spans="1:17" s="59" customFormat="1" ht="15.6" customHeight="1">
      <c r="A4" s="876" t="s">
        <v>11</v>
      </c>
      <c r="B4" s="876"/>
      <c r="C4" s="859" t="s">
        <v>118</v>
      </c>
      <c r="D4" s="859"/>
      <c r="E4" s="859"/>
      <c r="F4" s="859"/>
      <c r="G4" s="859"/>
      <c r="H4" s="859"/>
      <c r="I4" s="859"/>
      <c r="J4" s="859"/>
      <c r="K4" s="859"/>
      <c r="L4" s="859"/>
      <c r="M4" s="859"/>
      <c r="N4" s="859"/>
      <c r="O4" s="859"/>
      <c r="P4" s="859"/>
      <c r="Q4" s="188"/>
    </row>
    <row r="5" spans="1:17" s="59" customFormat="1" ht="15.75">
      <c r="A5" s="876" t="s">
        <v>12</v>
      </c>
      <c r="B5" s="876"/>
      <c r="C5" s="859" t="s">
        <v>50</v>
      </c>
      <c r="D5" s="859"/>
      <c r="E5" s="859"/>
      <c r="F5" s="859"/>
      <c r="G5" s="859"/>
      <c r="H5" s="859"/>
      <c r="I5" s="859"/>
      <c r="J5" s="859"/>
      <c r="K5" s="859"/>
      <c r="L5" s="859"/>
      <c r="M5" s="859"/>
      <c r="N5" s="859"/>
      <c r="O5" s="859"/>
      <c r="P5" s="859"/>
      <c r="Q5" s="188"/>
    </row>
    <row r="6" spans="1:17" s="59" customFormat="1" ht="15.75">
      <c r="A6" s="876" t="s">
        <v>30</v>
      </c>
      <c r="B6" s="876"/>
      <c r="C6" s="874"/>
      <c r="D6" s="874"/>
      <c r="E6" s="874"/>
      <c r="F6" s="874"/>
      <c r="G6" s="874"/>
      <c r="H6" s="874"/>
      <c r="I6" s="874"/>
      <c r="J6" s="874"/>
      <c r="K6" s="874"/>
      <c r="L6" s="874"/>
      <c r="M6" s="874"/>
      <c r="N6" s="874"/>
      <c r="O6" s="874"/>
      <c r="P6" s="874"/>
      <c r="Q6" s="188"/>
    </row>
    <row r="7" spans="1:17" s="59" customFormat="1" ht="15.75">
      <c r="A7" s="876" t="s">
        <v>54</v>
      </c>
      <c r="B7" s="876"/>
      <c r="C7" s="873"/>
      <c r="D7" s="873"/>
      <c r="E7" s="873"/>
      <c r="F7" s="873"/>
      <c r="G7" s="873"/>
      <c r="H7" s="873"/>
      <c r="I7" s="873"/>
      <c r="J7" s="873"/>
      <c r="K7" s="873"/>
      <c r="L7" s="873"/>
      <c r="M7" s="873"/>
      <c r="N7" s="873"/>
      <c r="O7" s="873"/>
      <c r="P7" s="873"/>
      <c r="Q7" s="188"/>
    </row>
    <row r="8" spans="1:17" s="59" customFormat="1" ht="15.75">
      <c r="A8" s="82"/>
      <c r="B8" s="82"/>
      <c r="C8" s="73"/>
      <c r="D8" s="73"/>
      <c r="E8" s="104"/>
      <c r="F8" s="73"/>
      <c r="G8" s="73"/>
      <c r="H8" s="73"/>
      <c r="I8" s="73"/>
      <c r="J8" s="73"/>
      <c r="K8" s="73"/>
      <c r="L8" s="66"/>
      <c r="M8" s="66"/>
      <c r="N8" s="74"/>
      <c r="O8" s="63" t="s">
        <v>52</v>
      </c>
      <c r="P8" s="75">
        <f>P129</f>
        <v>0</v>
      </c>
      <c r="Q8" s="188"/>
    </row>
    <row r="9" spans="1:17">
      <c r="C9" s="60"/>
    </row>
    <row r="10" spans="1:17"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7"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7">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7" s="1" customFormat="1">
      <c r="A13" s="370"/>
      <c r="B13" s="370"/>
      <c r="C13" s="358" t="s">
        <v>430</v>
      </c>
      <c r="D13" s="446"/>
      <c r="E13" s="470"/>
      <c r="F13" s="135"/>
      <c r="G13" s="135"/>
      <c r="H13" s="135"/>
      <c r="I13" s="135"/>
      <c r="J13" s="135"/>
      <c r="K13" s="135"/>
      <c r="L13" s="135"/>
      <c r="M13" s="136"/>
      <c r="N13" s="136"/>
      <c r="O13" s="136"/>
      <c r="P13" s="136"/>
      <c r="Q13" s="187"/>
    </row>
    <row r="14" spans="1:17" s="1" customFormat="1" ht="24">
      <c r="A14" s="373">
        <v>1</v>
      </c>
      <c r="B14" s="478" t="s">
        <v>149</v>
      </c>
      <c r="C14" s="479" t="s">
        <v>431</v>
      </c>
      <c r="D14" s="480" t="s">
        <v>80</v>
      </c>
      <c r="E14" s="496">
        <v>1</v>
      </c>
      <c r="F14" s="153"/>
      <c r="G14" s="153"/>
      <c r="H14" s="153"/>
      <c r="I14" s="153"/>
      <c r="J14" s="153"/>
      <c r="K14" s="153"/>
      <c r="L14" s="153"/>
      <c r="M14" s="208"/>
      <c r="N14" s="208"/>
      <c r="O14" s="208"/>
      <c r="P14" s="208"/>
      <c r="Q14" s="187"/>
    </row>
    <row r="15" spans="1:17" s="1" customFormat="1" ht="24">
      <c r="A15" s="348">
        <f>A14+1</f>
        <v>2</v>
      </c>
      <c r="B15" s="464" t="s">
        <v>149</v>
      </c>
      <c r="C15" s="481" t="s">
        <v>432</v>
      </c>
      <c r="D15" s="482" t="s">
        <v>80</v>
      </c>
      <c r="E15" s="489">
        <v>2</v>
      </c>
      <c r="F15" s="145"/>
      <c r="G15" s="145"/>
      <c r="H15" s="145"/>
      <c r="I15" s="145"/>
      <c r="J15" s="145"/>
      <c r="K15" s="145"/>
      <c r="L15" s="145"/>
      <c r="M15" s="204"/>
      <c r="N15" s="204"/>
      <c r="O15" s="204"/>
      <c r="P15" s="204"/>
      <c r="Q15" s="187"/>
    </row>
    <row r="16" spans="1:17" s="1" customFormat="1" ht="24">
      <c r="A16" s="348">
        <f>A15+1</f>
        <v>3</v>
      </c>
      <c r="B16" s="464" t="s">
        <v>149</v>
      </c>
      <c r="C16" s="481" t="s">
        <v>432</v>
      </c>
      <c r="D16" s="482" t="s">
        <v>80</v>
      </c>
      <c r="E16" s="489">
        <v>18</v>
      </c>
      <c r="F16" s="145"/>
      <c r="G16" s="145"/>
      <c r="H16" s="145"/>
      <c r="I16" s="145"/>
      <c r="J16" s="145"/>
      <c r="K16" s="145"/>
      <c r="L16" s="145"/>
      <c r="M16" s="204"/>
      <c r="N16" s="204"/>
      <c r="O16" s="204"/>
      <c r="P16" s="204"/>
      <c r="Q16" s="187"/>
    </row>
    <row r="17" spans="1:17" s="1" customFormat="1" ht="24">
      <c r="A17" s="348">
        <f>A16+1</f>
        <v>4</v>
      </c>
      <c r="B17" s="464" t="s">
        <v>149</v>
      </c>
      <c r="C17" s="481" t="s">
        <v>433</v>
      </c>
      <c r="D17" s="482" t="s">
        <v>80</v>
      </c>
      <c r="E17" s="489">
        <v>2</v>
      </c>
      <c r="F17" s="145"/>
      <c r="G17" s="145"/>
      <c r="H17" s="145"/>
      <c r="I17" s="145"/>
      <c r="J17" s="145"/>
      <c r="K17" s="145"/>
      <c r="L17" s="145"/>
      <c r="M17" s="204"/>
      <c r="N17" s="204"/>
      <c r="O17" s="204"/>
      <c r="P17" s="204"/>
      <c r="Q17" s="187"/>
    </row>
    <row r="18" spans="1:17" s="1" customFormat="1" ht="24">
      <c r="A18" s="348">
        <f t="shared" ref="A18:A28" si="0">A17+1</f>
        <v>5</v>
      </c>
      <c r="B18" s="464" t="s">
        <v>149</v>
      </c>
      <c r="C18" s="481" t="s">
        <v>434</v>
      </c>
      <c r="D18" s="482" t="s">
        <v>77</v>
      </c>
      <c r="E18" s="489">
        <f>9.54</f>
        <v>9.5399999999999991</v>
      </c>
      <c r="F18" s="145"/>
      <c r="G18" s="145"/>
      <c r="H18" s="145"/>
      <c r="I18" s="145"/>
      <c r="J18" s="145"/>
      <c r="K18" s="145"/>
      <c r="L18" s="145"/>
      <c r="M18" s="204"/>
      <c r="N18" s="204"/>
      <c r="O18" s="204"/>
      <c r="P18" s="204"/>
      <c r="Q18" s="187"/>
    </row>
    <row r="19" spans="1:17" s="1" customFormat="1" ht="24">
      <c r="A19" s="348">
        <f t="shared" si="0"/>
        <v>6</v>
      </c>
      <c r="B19" s="464" t="s">
        <v>149</v>
      </c>
      <c r="C19" s="377" t="s">
        <v>435</v>
      </c>
      <c r="D19" s="458" t="s">
        <v>82</v>
      </c>
      <c r="E19" s="476">
        <f>22.3</f>
        <v>22.3</v>
      </c>
      <c r="F19" s="145"/>
      <c r="G19" s="145"/>
      <c r="H19" s="145"/>
      <c r="I19" s="145"/>
      <c r="J19" s="145"/>
      <c r="K19" s="145"/>
      <c r="L19" s="145"/>
      <c r="M19" s="204"/>
      <c r="N19" s="204"/>
      <c r="O19" s="204"/>
      <c r="P19" s="204"/>
      <c r="Q19" s="187"/>
    </row>
    <row r="20" spans="1:17" s="1" customFormat="1" ht="24">
      <c r="A20" s="348">
        <f t="shared" si="0"/>
        <v>7</v>
      </c>
      <c r="B20" s="464" t="s">
        <v>149</v>
      </c>
      <c r="C20" s="377" t="s">
        <v>436</v>
      </c>
      <c r="D20" s="434" t="s">
        <v>82</v>
      </c>
      <c r="E20" s="354">
        <f>20.7</f>
        <v>20.7</v>
      </c>
      <c r="F20" s="145"/>
      <c r="G20" s="145"/>
      <c r="H20" s="145"/>
      <c r="I20" s="145"/>
      <c r="J20" s="145"/>
      <c r="K20" s="145"/>
      <c r="L20" s="145"/>
      <c r="M20" s="204"/>
      <c r="N20" s="204"/>
      <c r="O20" s="204"/>
      <c r="P20" s="204"/>
      <c r="Q20" s="187"/>
    </row>
    <row r="21" spans="1:17" s="1" customFormat="1">
      <c r="A21" s="348">
        <f t="shared" si="0"/>
        <v>8</v>
      </c>
      <c r="B21" s="464" t="s">
        <v>149</v>
      </c>
      <c r="C21" s="481" t="s">
        <v>437</v>
      </c>
      <c r="D21" s="482" t="s">
        <v>84</v>
      </c>
      <c r="E21" s="489">
        <f>0.16</f>
        <v>0.16</v>
      </c>
      <c r="F21" s="145"/>
      <c r="G21" s="145"/>
      <c r="H21" s="145"/>
      <c r="I21" s="145"/>
      <c r="J21" s="145"/>
      <c r="K21" s="145"/>
      <c r="L21" s="145"/>
      <c r="M21" s="204"/>
      <c r="N21" s="204"/>
      <c r="O21" s="204"/>
      <c r="P21" s="204"/>
      <c r="Q21" s="187"/>
    </row>
    <row r="22" spans="1:17" s="1" customFormat="1">
      <c r="A22" s="348">
        <f t="shared" si="0"/>
        <v>9</v>
      </c>
      <c r="B22" s="464" t="s">
        <v>149</v>
      </c>
      <c r="C22" s="481" t="s">
        <v>438</v>
      </c>
      <c r="D22" s="482" t="s">
        <v>84</v>
      </c>
      <c r="E22" s="489">
        <v>0.2</v>
      </c>
      <c r="F22" s="145"/>
      <c r="G22" s="145"/>
      <c r="H22" s="145"/>
      <c r="I22" s="145"/>
      <c r="J22" s="145"/>
      <c r="K22" s="145"/>
      <c r="L22" s="145"/>
      <c r="M22" s="204"/>
      <c r="N22" s="204"/>
      <c r="O22" s="204"/>
      <c r="P22" s="204"/>
      <c r="Q22" s="187"/>
    </row>
    <row r="23" spans="1:17" s="1" customFormat="1" ht="24">
      <c r="A23" s="348">
        <f t="shared" si="0"/>
        <v>10</v>
      </c>
      <c r="B23" s="348" t="s">
        <v>149</v>
      </c>
      <c r="C23" s="377" t="s">
        <v>439</v>
      </c>
      <c r="D23" s="434" t="s">
        <v>82</v>
      </c>
      <c r="E23" s="354">
        <f>82.3</f>
        <v>82.3</v>
      </c>
      <c r="F23" s="145"/>
      <c r="G23" s="145"/>
      <c r="H23" s="145"/>
      <c r="I23" s="145"/>
      <c r="J23" s="145"/>
      <c r="K23" s="145"/>
      <c r="L23" s="145"/>
      <c r="M23" s="204"/>
      <c r="N23" s="204"/>
      <c r="O23" s="204"/>
      <c r="P23" s="204"/>
      <c r="Q23" s="187"/>
    </row>
    <row r="24" spans="1:17" s="1" customFormat="1" ht="24">
      <c r="A24" s="348">
        <f t="shared" si="0"/>
        <v>11</v>
      </c>
      <c r="B24" s="348" t="s">
        <v>149</v>
      </c>
      <c r="C24" s="377" t="s">
        <v>440</v>
      </c>
      <c r="D24" s="434" t="s">
        <v>82</v>
      </c>
      <c r="E24" s="354">
        <f>89.1</f>
        <v>89.1</v>
      </c>
      <c r="F24" s="145"/>
      <c r="G24" s="145"/>
      <c r="H24" s="145"/>
      <c r="I24" s="145"/>
      <c r="J24" s="145"/>
      <c r="K24" s="145"/>
      <c r="L24" s="145"/>
      <c r="M24" s="204"/>
      <c r="N24" s="204"/>
      <c r="O24" s="204"/>
      <c r="P24" s="204"/>
      <c r="Q24" s="187"/>
    </row>
    <row r="25" spans="1:17" s="1" customFormat="1" ht="24">
      <c r="A25" s="348">
        <f t="shared" si="0"/>
        <v>12</v>
      </c>
      <c r="B25" s="348" t="s">
        <v>149</v>
      </c>
      <c r="C25" s="377" t="s">
        <v>441</v>
      </c>
      <c r="D25" s="434" t="s">
        <v>82</v>
      </c>
      <c r="E25" s="354">
        <f>2.3</f>
        <v>2.2999999999999998</v>
      </c>
      <c r="F25" s="145"/>
      <c r="G25" s="145"/>
      <c r="H25" s="145"/>
      <c r="I25" s="145"/>
      <c r="J25" s="145"/>
      <c r="K25" s="145"/>
      <c r="L25" s="145"/>
      <c r="M25" s="204"/>
      <c r="N25" s="204"/>
      <c r="O25" s="204"/>
      <c r="P25" s="204"/>
      <c r="Q25" s="187"/>
    </row>
    <row r="26" spans="1:17" s="1" customFormat="1">
      <c r="A26" s="348">
        <f t="shared" si="0"/>
        <v>13</v>
      </c>
      <c r="B26" s="348" t="s">
        <v>149</v>
      </c>
      <c r="C26" s="377" t="s">
        <v>442</v>
      </c>
      <c r="D26" s="434" t="s">
        <v>82</v>
      </c>
      <c r="E26" s="354">
        <f>52.4</f>
        <v>52.4</v>
      </c>
      <c r="F26" s="145"/>
      <c r="G26" s="145"/>
      <c r="H26" s="145"/>
      <c r="I26" s="145"/>
      <c r="J26" s="145"/>
      <c r="K26" s="145"/>
      <c r="L26" s="145"/>
      <c r="M26" s="204"/>
      <c r="N26" s="204"/>
      <c r="O26" s="204"/>
      <c r="P26" s="204"/>
      <c r="Q26" s="187"/>
    </row>
    <row r="27" spans="1:17" s="1" customFormat="1" ht="24">
      <c r="A27" s="348">
        <f t="shared" si="0"/>
        <v>14</v>
      </c>
      <c r="B27" s="348" t="s">
        <v>149</v>
      </c>
      <c r="C27" s="377" t="s">
        <v>443</v>
      </c>
      <c r="D27" s="434" t="s">
        <v>82</v>
      </c>
      <c r="E27" s="354">
        <f>11.6</f>
        <v>11.6</v>
      </c>
      <c r="F27" s="145"/>
      <c r="G27" s="145"/>
      <c r="H27" s="145"/>
      <c r="I27" s="145"/>
      <c r="J27" s="145"/>
      <c r="K27" s="145"/>
      <c r="L27" s="145"/>
      <c r="M27" s="204"/>
      <c r="N27" s="204"/>
      <c r="O27" s="204"/>
      <c r="P27" s="204"/>
      <c r="Q27" s="187"/>
    </row>
    <row r="28" spans="1:17" s="1" customFormat="1">
      <c r="A28" s="348">
        <f t="shared" si="0"/>
        <v>15</v>
      </c>
      <c r="B28" s="348" t="s">
        <v>149</v>
      </c>
      <c r="C28" s="377" t="s">
        <v>444</v>
      </c>
      <c r="D28" s="434" t="s">
        <v>80</v>
      </c>
      <c r="E28" s="354">
        <v>8</v>
      </c>
      <c r="F28" s="145"/>
      <c r="G28" s="145"/>
      <c r="H28" s="145"/>
      <c r="I28" s="145"/>
      <c r="J28" s="145"/>
      <c r="K28" s="145"/>
      <c r="L28" s="145"/>
      <c r="M28" s="204"/>
      <c r="N28" s="204"/>
      <c r="O28" s="204"/>
      <c r="P28" s="204"/>
      <c r="Q28" s="187"/>
    </row>
    <row r="29" spans="1:17" s="1" customFormat="1">
      <c r="A29" s="380">
        <f>A28+1</f>
        <v>16</v>
      </c>
      <c r="B29" s="380" t="s">
        <v>149</v>
      </c>
      <c r="C29" s="381" t="s">
        <v>445</v>
      </c>
      <c r="D29" s="484" t="s">
        <v>80</v>
      </c>
      <c r="E29" s="441">
        <v>4</v>
      </c>
      <c r="F29" s="150"/>
      <c r="G29" s="150"/>
      <c r="H29" s="150"/>
      <c r="I29" s="150"/>
      <c r="J29" s="150"/>
      <c r="K29" s="150"/>
      <c r="L29" s="150"/>
      <c r="M29" s="207"/>
      <c r="N29" s="207"/>
      <c r="O29" s="207"/>
      <c r="P29" s="207"/>
      <c r="Q29" s="187"/>
    </row>
    <row r="30" spans="1:17" s="1" customFormat="1">
      <c r="A30" s="370"/>
      <c r="B30" s="370"/>
      <c r="C30" s="417" t="s">
        <v>446</v>
      </c>
      <c r="D30" s="418"/>
      <c r="E30" s="439"/>
      <c r="F30" s="135"/>
      <c r="G30" s="135"/>
      <c r="H30" s="135"/>
      <c r="I30" s="135"/>
      <c r="J30" s="135"/>
      <c r="K30" s="135"/>
      <c r="L30" s="135"/>
      <c r="M30" s="136"/>
      <c r="N30" s="136"/>
      <c r="O30" s="136"/>
      <c r="P30" s="136"/>
      <c r="Q30" s="187"/>
    </row>
    <row r="31" spans="1:17" s="1" customFormat="1">
      <c r="A31" s="373">
        <f>A29+1</f>
        <v>17</v>
      </c>
      <c r="B31" s="373" t="s">
        <v>149</v>
      </c>
      <c r="C31" s="374" t="s">
        <v>447</v>
      </c>
      <c r="D31" s="375" t="s">
        <v>80</v>
      </c>
      <c r="E31" s="440">
        <v>1</v>
      </c>
      <c r="F31" s="153"/>
      <c r="G31" s="153"/>
      <c r="H31" s="153"/>
      <c r="I31" s="153"/>
      <c r="J31" s="153"/>
      <c r="K31" s="153"/>
      <c r="L31" s="153"/>
      <c r="M31" s="208"/>
      <c r="N31" s="208"/>
      <c r="O31" s="208"/>
      <c r="P31" s="208"/>
      <c r="Q31" s="187"/>
    </row>
    <row r="32" spans="1:17" s="1" customFormat="1">
      <c r="A32" s="370"/>
      <c r="B32" s="370"/>
      <c r="C32" s="358" t="s">
        <v>448</v>
      </c>
      <c r="D32" s="446"/>
      <c r="E32" s="470"/>
      <c r="F32" s="135"/>
      <c r="G32" s="135"/>
      <c r="H32" s="135"/>
      <c r="I32" s="135"/>
      <c r="J32" s="135"/>
      <c r="K32" s="135"/>
      <c r="L32" s="135"/>
      <c r="M32" s="136"/>
      <c r="N32" s="136"/>
      <c r="O32" s="136"/>
      <c r="P32" s="136"/>
      <c r="Q32" s="187"/>
    </row>
    <row r="33" spans="1:17" s="1" customFormat="1" ht="24">
      <c r="A33" s="385">
        <f>A31+1</f>
        <v>18</v>
      </c>
      <c r="B33" s="486" t="s">
        <v>149</v>
      </c>
      <c r="C33" s="487" t="s">
        <v>434</v>
      </c>
      <c r="D33" s="488" t="s">
        <v>77</v>
      </c>
      <c r="E33" s="497">
        <f>3.12</f>
        <v>3.12</v>
      </c>
      <c r="F33" s="146"/>
      <c r="G33" s="146"/>
      <c r="H33" s="146"/>
      <c r="I33" s="146"/>
      <c r="J33" s="146"/>
      <c r="K33" s="146"/>
      <c r="L33" s="146"/>
      <c r="M33" s="205"/>
      <c r="N33" s="205"/>
      <c r="O33" s="205"/>
      <c r="P33" s="205"/>
      <c r="Q33" s="187"/>
    </row>
    <row r="34" spans="1:17" s="1" customFormat="1" ht="24">
      <c r="A34" s="348">
        <f t="shared" ref="A34:A40" si="1">A33+1</f>
        <v>19</v>
      </c>
      <c r="B34" s="464" t="s">
        <v>149</v>
      </c>
      <c r="C34" s="377" t="s">
        <v>435</v>
      </c>
      <c r="D34" s="458" t="s">
        <v>82</v>
      </c>
      <c r="E34" s="476">
        <f>14.33</f>
        <v>14.33</v>
      </c>
      <c r="F34" s="145"/>
      <c r="G34" s="145"/>
      <c r="H34" s="145"/>
      <c r="I34" s="145"/>
      <c r="J34" s="145"/>
      <c r="K34" s="145"/>
      <c r="L34" s="145"/>
      <c r="M34" s="204"/>
      <c r="N34" s="204"/>
      <c r="O34" s="204"/>
      <c r="P34" s="204"/>
      <c r="Q34" s="187"/>
    </row>
    <row r="35" spans="1:17" s="1" customFormat="1" ht="24">
      <c r="A35" s="348">
        <f t="shared" si="1"/>
        <v>20</v>
      </c>
      <c r="B35" s="464" t="s">
        <v>149</v>
      </c>
      <c r="C35" s="377" t="s">
        <v>436</v>
      </c>
      <c r="D35" s="434" t="s">
        <v>82</v>
      </c>
      <c r="E35" s="354">
        <f>3.46</f>
        <v>3.46</v>
      </c>
      <c r="F35" s="145"/>
      <c r="G35" s="145"/>
      <c r="H35" s="145"/>
      <c r="I35" s="145"/>
      <c r="J35" s="145"/>
      <c r="K35" s="145"/>
      <c r="L35" s="145"/>
      <c r="M35" s="204"/>
      <c r="N35" s="204"/>
      <c r="O35" s="204"/>
      <c r="P35" s="204"/>
      <c r="Q35" s="187"/>
    </row>
    <row r="36" spans="1:17" s="1" customFormat="1" ht="24">
      <c r="A36" s="348">
        <f t="shared" si="1"/>
        <v>21</v>
      </c>
      <c r="B36" s="348" t="s">
        <v>149</v>
      </c>
      <c r="C36" s="377" t="s">
        <v>439</v>
      </c>
      <c r="D36" s="434" t="s">
        <v>82</v>
      </c>
      <c r="E36" s="354">
        <f>41.5</f>
        <v>41.5</v>
      </c>
      <c r="F36" s="145"/>
      <c r="G36" s="145"/>
      <c r="H36" s="145"/>
      <c r="I36" s="145"/>
      <c r="J36" s="145"/>
      <c r="K36" s="145"/>
      <c r="L36" s="145"/>
      <c r="M36" s="204"/>
      <c r="N36" s="204"/>
      <c r="O36" s="204"/>
      <c r="P36" s="204"/>
      <c r="Q36" s="187"/>
    </row>
    <row r="37" spans="1:17" s="1" customFormat="1" ht="24">
      <c r="A37" s="348">
        <f t="shared" si="1"/>
        <v>22</v>
      </c>
      <c r="B37" s="348" t="s">
        <v>149</v>
      </c>
      <c r="C37" s="377" t="s">
        <v>440</v>
      </c>
      <c r="D37" s="434" t="s">
        <v>82</v>
      </c>
      <c r="E37" s="354">
        <f>35</f>
        <v>35</v>
      </c>
      <c r="F37" s="145"/>
      <c r="G37" s="145"/>
      <c r="H37" s="145"/>
      <c r="I37" s="145"/>
      <c r="J37" s="145"/>
      <c r="K37" s="145"/>
      <c r="L37" s="145"/>
      <c r="M37" s="204"/>
      <c r="N37" s="204"/>
      <c r="O37" s="204"/>
      <c r="P37" s="204"/>
      <c r="Q37" s="187"/>
    </row>
    <row r="38" spans="1:17" s="1" customFormat="1">
      <c r="A38" s="348">
        <f t="shared" si="1"/>
        <v>23</v>
      </c>
      <c r="B38" s="348" t="s">
        <v>149</v>
      </c>
      <c r="C38" s="377" t="s">
        <v>449</v>
      </c>
      <c r="D38" s="434" t="s">
        <v>82</v>
      </c>
      <c r="E38" s="354">
        <f>12.17</f>
        <v>12.17</v>
      </c>
      <c r="F38" s="145"/>
      <c r="G38" s="145"/>
      <c r="H38" s="145"/>
      <c r="I38" s="145"/>
      <c r="J38" s="145"/>
      <c r="K38" s="145"/>
      <c r="L38" s="145"/>
      <c r="M38" s="204"/>
      <c r="N38" s="204"/>
      <c r="O38" s="204"/>
      <c r="P38" s="204"/>
      <c r="Q38" s="187"/>
    </row>
    <row r="39" spans="1:17" s="1" customFormat="1">
      <c r="A39" s="348">
        <f t="shared" si="1"/>
        <v>24</v>
      </c>
      <c r="B39" s="348" t="s">
        <v>149</v>
      </c>
      <c r="C39" s="377" t="s">
        <v>444</v>
      </c>
      <c r="D39" s="434" t="s">
        <v>80</v>
      </c>
      <c r="E39" s="354">
        <v>2</v>
      </c>
      <c r="F39" s="145"/>
      <c r="G39" s="145"/>
      <c r="H39" s="145"/>
      <c r="I39" s="145"/>
      <c r="J39" s="145"/>
      <c r="K39" s="145"/>
      <c r="L39" s="145"/>
      <c r="M39" s="204"/>
      <c r="N39" s="204"/>
      <c r="O39" s="204"/>
      <c r="P39" s="204"/>
      <c r="Q39" s="187"/>
    </row>
    <row r="40" spans="1:17" s="1" customFormat="1">
      <c r="A40" s="380">
        <f t="shared" si="1"/>
        <v>25</v>
      </c>
      <c r="B40" s="380" t="s">
        <v>149</v>
      </c>
      <c r="C40" s="381" t="s">
        <v>445</v>
      </c>
      <c r="D40" s="484" t="s">
        <v>80</v>
      </c>
      <c r="E40" s="441">
        <v>2</v>
      </c>
      <c r="F40" s="150"/>
      <c r="G40" s="150"/>
      <c r="H40" s="150"/>
      <c r="I40" s="150"/>
      <c r="J40" s="150"/>
      <c r="K40" s="150"/>
      <c r="L40" s="150"/>
      <c r="M40" s="207"/>
      <c r="N40" s="207"/>
      <c r="O40" s="207"/>
      <c r="P40" s="207"/>
      <c r="Q40" s="187"/>
    </row>
    <row r="41" spans="1:17" s="1" customFormat="1">
      <c r="A41" s="370"/>
      <c r="B41" s="370"/>
      <c r="C41" s="358" t="s">
        <v>450</v>
      </c>
      <c r="D41" s="446"/>
      <c r="E41" s="470"/>
      <c r="F41" s="135"/>
      <c r="G41" s="135"/>
      <c r="H41" s="135"/>
      <c r="I41" s="135"/>
      <c r="J41" s="135"/>
      <c r="K41" s="135"/>
      <c r="L41" s="135"/>
      <c r="M41" s="136"/>
      <c r="N41" s="136"/>
      <c r="O41" s="136"/>
      <c r="P41" s="136"/>
      <c r="Q41" s="187"/>
    </row>
    <row r="42" spans="1:17" s="1" customFormat="1" ht="24">
      <c r="A42" s="385">
        <f>A40+1</f>
        <v>26</v>
      </c>
      <c r="B42" s="486" t="s">
        <v>149</v>
      </c>
      <c r="C42" s="487" t="s">
        <v>451</v>
      </c>
      <c r="D42" s="488" t="s">
        <v>80</v>
      </c>
      <c r="E42" s="497">
        <v>1</v>
      </c>
      <c r="F42" s="146"/>
      <c r="G42" s="146"/>
      <c r="H42" s="146"/>
      <c r="I42" s="146"/>
      <c r="J42" s="146"/>
      <c r="K42" s="146"/>
      <c r="L42" s="146"/>
      <c r="M42" s="205"/>
      <c r="N42" s="205"/>
      <c r="O42" s="205"/>
      <c r="P42" s="205"/>
      <c r="Q42" s="187"/>
    </row>
    <row r="43" spans="1:17" s="1" customFormat="1" ht="24">
      <c r="A43" s="348">
        <f>A42+1</f>
        <v>27</v>
      </c>
      <c r="B43" s="464" t="s">
        <v>149</v>
      </c>
      <c r="C43" s="481" t="s">
        <v>451</v>
      </c>
      <c r="D43" s="482" t="s">
        <v>80</v>
      </c>
      <c r="E43" s="489">
        <v>9</v>
      </c>
      <c r="F43" s="145"/>
      <c r="G43" s="145"/>
      <c r="H43" s="145"/>
      <c r="I43" s="145"/>
      <c r="J43" s="145"/>
      <c r="K43" s="145"/>
      <c r="L43" s="145"/>
      <c r="M43" s="204"/>
      <c r="N43" s="204"/>
      <c r="O43" s="204"/>
      <c r="P43" s="204"/>
      <c r="Q43" s="187"/>
    </row>
    <row r="44" spans="1:17" s="1" customFormat="1" ht="24">
      <c r="A44" s="348">
        <f>A43+1</f>
        <v>28</v>
      </c>
      <c r="B44" s="464" t="s">
        <v>149</v>
      </c>
      <c r="C44" s="481" t="s">
        <v>452</v>
      </c>
      <c r="D44" s="482" t="s">
        <v>80</v>
      </c>
      <c r="E44" s="489">
        <v>1</v>
      </c>
      <c r="F44" s="145"/>
      <c r="G44" s="145"/>
      <c r="H44" s="145"/>
      <c r="I44" s="145"/>
      <c r="J44" s="145"/>
      <c r="K44" s="145"/>
      <c r="L44" s="145"/>
      <c r="M44" s="204"/>
      <c r="N44" s="204"/>
      <c r="O44" s="204"/>
      <c r="P44" s="204"/>
      <c r="Q44" s="187"/>
    </row>
    <row r="45" spans="1:17" s="1" customFormat="1" ht="24">
      <c r="A45" s="348">
        <f>A44+1</f>
        <v>29</v>
      </c>
      <c r="B45" s="464" t="s">
        <v>149</v>
      </c>
      <c r="C45" s="481" t="s">
        <v>453</v>
      </c>
      <c r="D45" s="482" t="s">
        <v>80</v>
      </c>
      <c r="E45" s="489">
        <v>1</v>
      </c>
      <c r="F45" s="145"/>
      <c r="G45" s="145"/>
      <c r="H45" s="145"/>
      <c r="I45" s="145"/>
      <c r="J45" s="145"/>
      <c r="K45" s="145"/>
      <c r="L45" s="145"/>
      <c r="M45" s="204"/>
      <c r="N45" s="204"/>
      <c r="O45" s="204"/>
      <c r="P45" s="204"/>
      <c r="Q45" s="187"/>
    </row>
    <row r="46" spans="1:17" s="1" customFormat="1" ht="24">
      <c r="A46" s="348">
        <f>A45+1</f>
        <v>30</v>
      </c>
      <c r="B46" s="464" t="s">
        <v>149</v>
      </c>
      <c r="C46" s="481" t="s">
        <v>453</v>
      </c>
      <c r="D46" s="482" t="s">
        <v>80</v>
      </c>
      <c r="E46" s="489">
        <v>9</v>
      </c>
      <c r="F46" s="145"/>
      <c r="G46" s="145"/>
      <c r="H46" s="145"/>
      <c r="I46" s="145"/>
      <c r="J46" s="145"/>
      <c r="K46" s="145"/>
      <c r="L46" s="145"/>
      <c r="M46" s="204"/>
      <c r="N46" s="204"/>
      <c r="O46" s="204"/>
      <c r="P46" s="204"/>
      <c r="Q46" s="187"/>
    </row>
    <row r="47" spans="1:17" s="1" customFormat="1" ht="24">
      <c r="A47" s="348">
        <f>A46+1</f>
        <v>31</v>
      </c>
      <c r="B47" s="464" t="s">
        <v>149</v>
      </c>
      <c r="C47" s="481" t="s">
        <v>453</v>
      </c>
      <c r="D47" s="482" t="s">
        <v>80</v>
      </c>
      <c r="E47" s="489">
        <v>1</v>
      </c>
      <c r="F47" s="145"/>
      <c r="G47" s="145"/>
      <c r="H47" s="145"/>
      <c r="I47" s="145"/>
      <c r="J47" s="145"/>
      <c r="K47" s="145"/>
      <c r="L47" s="145"/>
      <c r="M47" s="204"/>
      <c r="N47" s="204"/>
      <c r="O47" s="204"/>
      <c r="P47" s="204"/>
      <c r="Q47" s="187"/>
    </row>
    <row r="48" spans="1:17" s="1" customFormat="1" ht="24">
      <c r="A48" s="348">
        <f t="shared" ref="A48:A58" si="2">A47+1</f>
        <v>32</v>
      </c>
      <c r="B48" s="464" t="s">
        <v>149</v>
      </c>
      <c r="C48" s="481" t="s">
        <v>434</v>
      </c>
      <c r="D48" s="482" t="s">
        <v>77</v>
      </c>
      <c r="E48" s="489">
        <v>15.16</v>
      </c>
      <c r="F48" s="145"/>
      <c r="G48" s="145"/>
      <c r="H48" s="145"/>
      <c r="I48" s="145"/>
      <c r="J48" s="145"/>
      <c r="K48" s="145"/>
      <c r="L48" s="145"/>
      <c r="M48" s="204"/>
      <c r="N48" s="204"/>
      <c r="O48" s="204"/>
      <c r="P48" s="204"/>
      <c r="Q48" s="187"/>
    </row>
    <row r="49" spans="1:17" s="1" customFormat="1" ht="24">
      <c r="A49" s="348">
        <f t="shared" si="2"/>
        <v>33</v>
      </c>
      <c r="B49" s="464" t="s">
        <v>149</v>
      </c>
      <c r="C49" s="377" t="s">
        <v>435</v>
      </c>
      <c r="D49" s="458" t="s">
        <v>82</v>
      </c>
      <c r="E49" s="476">
        <v>36.4</v>
      </c>
      <c r="F49" s="145"/>
      <c r="G49" s="145"/>
      <c r="H49" s="145"/>
      <c r="I49" s="145"/>
      <c r="J49" s="145"/>
      <c r="K49" s="145"/>
      <c r="L49" s="145"/>
      <c r="M49" s="204"/>
      <c r="N49" s="204"/>
      <c r="O49" s="204"/>
      <c r="P49" s="204"/>
      <c r="Q49" s="187"/>
    </row>
    <row r="50" spans="1:17" s="1" customFormat="1" ht="24">
      <c r="A50" s="348">
        <f t="shared" si="2"/>
        <v>34</v>
      </c>
      <c r="B50" s="464" t="s">
        <v>149</v>
      </c>
      <c r="C50" s="377" t="s">
        <v>436</v>
      </c>
      <c r="D50" s="434" t="s">
        <v>82</v>
      </c>
      <c r="E50" s="354">
        <f>35.2</f>
        <v>35.200000000000003</v>
      </c>
      <c r="F50" s="145"/>
      <c r="G50" s="145"/>
      <c r="H50" s="145"/>
      <c r="I50" s="145"/>
      <c r="J50" s="145"/>
      <c r="K50" s="145"/>
      <c r="L50" s="145"/>
      <c r="M50" s="204"/>
      <c r="N50" s="204"/>
      <c r="O50" s="204"/>
      <c r="P50" s="204"/>
      <c r="Q50" s="187"/>
    </row>
    <row r="51" spans="1:17" s="1" customFormat="1">
      <c r="A51" s="348">
        <f t="shared" si="2"/>
        <v>35</v>
      </c>
      <c r="B51" s="464" t="s">
        <v>149</v>
      </c>
      <c r="C51" s="481" t="s">
        <v>437</v>
      </c>
      <c r="D51" s="482" t="s">
        <v>84</v>
      </c>
      <c r="E51" s="489">
        <v>0.22</v>
      </c>
      <c r="F51" s="145"/>
      <c r="G51" s="145"/>
      <c r="H51" s="145"/>
      <c r="I51" s="145"/>
      <c r="J51" s="145"/>
      <c r="K51" s="145"/>
      <c r="L51" s="145"/>
      <c r="M51" s="204"/>
      <c r="N51" s="204"/>
      <c r="O51" s="204"/>
      <c r="P51" s="204"/>
      <c r="Q51" s="187"/>
    </row>
    <row r="52" spans="1:17" s="1" customFormat="1">
      <c r="A52" s="348">
        <f t="shared" si="2"/>
        <v>36</v>
      </c>
      <c r="B52" s="464" t="s">
        <v>149</v>
      </c>
      <c r="C52" s="481" t="s">
        <v>438</v>
      </c>
      <c r="D52" s="482" t="s">
        <v>84</v>
      </c>
      <c r="E52" s="489">
        <v>0.26</v>
      </c>
      <c r="F52" s="145"/>
      <c r="G52" s="145"/>
      <c r="H52" s="145"/>
      <c r="I52" s="145"/>
      <c r="J52" s="145"/>
      <c r="K52" s="145"/>
      <c r="L52" s="145"/>
      <c r="M52" s="204"/>
      <c r="N52" s="204"/>
      <c r="O52" s="204"/>
      <c r="P52" s="204"/>
      <c r="Q52" s="187"/>
    </row>
    <row r="53" spans="1:17" s="1" customFormat="1" ht="24">
      <c r="A53" s="348">
        <f t="shared" si="2"/>
        <v>37</v>
      </c>
      <c r="B53" s="348" t="s">
        <v>149</v>
      </c>
      <c r="C53" s="377" t="s">
        <v>439</v>
      </c>
      <c r="D53" s="434" t="s">
        <v>82</v>
      </c>
      <c r="E53" s="354">
        <f>98.2</f>
        <v>98.2</v>
      </c>
      <c r="F53" s="145"/>
      <c r="G53" s="145"/>
      <c r="H53" s="145"/>
      <c r="I53" s="145"/>
      <c r="J53" s="145"/>
      <c r="K53" s="145"/>
      <c r="L53" s="145"/>
      <c r="M53" s="204"/>
      <c r="N53" s="204"/>
      <c r="O53" s="204"/>
      <c r="P53" s="204"/>
      <c r="Q53" s="187"/>
    </row>
    <row r="54" spans="1:17" s="1" customFormat="1" ht="24">
      <c r="A54" s="348">
        <f t="shared" si="2"/>
        <v>38</v>
      </c>
      <c r="B54" s="348" t="s">
        <v>149</v>
      </c>
      <c r="C54" s="377" t="s">
        <v>440</v>
      </c>
      <c r="D54" s="434" t="s">
        <v>82</v>
      </c>
      <c r="E54" s="354">
        <v>114.6</v>
      </c>
      <c r="F54" s="145"/>
      <c r="G54" s="145"/>
      <c r="H54" s="145"/>
      <c r="I54" s="145"/>
      <c r="J54" s="145"/>
      <c r="K54" s="145"/>
      <c r="L54" s="145"/>
      <c r="M54" s="204"/>
      <c r="N54" s="204"/>
      <c r="O54" s="204"/>
      <c r="P54" s="204"/>
      <c r="Q54" s="187"/>
    </row>
    <row r="55" spans="1:17" s="1" customFormat="1" ht="24">
      <c r="A55" s="348">
        <f t="shared" si="2"/>
        <v>39</v>
      </c>
      <c r="B55" s="348" t="s">
        <v>149</v>
      </c>
      <c r="C55" s="377" t="s">
        <v>441</v>
      </c>
      <c r="D55" s="434" t="s">
        <v>82</v>
      </c>
      <c r="E55" s="354">
        <f>2.9</f>
        <v>2.9</v>
      </c>
      <c r="F55" s="145"/>
      <c r="G55" s="145"/>
      <c r="H55" s="145"/>
      <c r="I55" s="145"/>
      <c r="J55" s="145"/>
      <c r="K55" s="145"/>
      <c r="L55" s="145"/>
      <c r="M55" s="204"/>
      <c r="N55" s="204"/>
      <c r="O55" s="204"/>
      <c r="P55" s="204"/>
      <c r="Q55" s="187"/>
    </row>
    <row r="56" spans="1:17" s="1" customFormat="1">
      <c r="A56" s="348">
        <f t="shared" si="2"/>
        <v>40</v>
      </c>
      <c r="B56" s="348" t="s">
        <v>149</v>
      </c>
      <c r="C56" s="377" t="s">
        <v>442</v>
      </c>
      <c r="D56" s="434" t="s">
        <v>82</v>
      </c>
      <c r="E56" s="354">
        <f>66.1</f>
        <v>66.099999999999994</v>
      </c>
      <c r="F56" s="145"/>
      <c r="G56" s="145"/>
      <c r="H56" s="145"/>
      <c r="I56" s="145"/>
      <c r="J56" s="145"/>
      <c r="K56" s="145"/>
      <c r="L56" s="145"/>
      <c r="M56" s="204"/>
      <c r="N56" s="204"/>
      <c r="O56" s="204"/>
      <c r="P56" s="204"/>
      <c r="Q56" s="187"/>
    </row>
    <row r="57" spans="1:17" s="1" customFormat="1" ht="24">
      <c r="A57" s="348">
        <f t="shared" si="2"/>
        <v>41</v>
      </c>
      <c r="B57" s="348" t="s">
        <v>149</v>
      </c>
      <c r="C57" s="377" t="s">
        <v>443</v>
      </c>
      <c r="D57" s="434" t="s">
        <v>82</v>
      </c>
      <c r="E57" s="354">
        <v>10.1</v>
      </c>
      <c r="F57" s="145"/>
      <c r="G57" s="145"/>
      <c r="H57" s="145"/>
      <c r="I57" s="145"/>
      <c r="J57" s="145"/>
      <c r="K57" s="145"/>
      <c r="L57" s="145"/>
      <c r="M57" s="204"/>
      <c r="N57" s="204"/>
      <c r="O57" s="204"/>
      <c r="P57" s="204"/>
      <c r="Q57" s="187"/>
    </row>
    <row r="58" spans="1:17" s="1" customFormat="1">
      <c r="A58" s="348">
        <f t="shared" si="2"/>
        <v>42</v>
      </c>
      <c r="B58" s="348" t="s">
        <v>149</v>
      </c>
      <c r="C58" s="377" t="s">
        <v>444</v>
      </c>
      <c r="D58" s="434" t="s">
        <v>80</v>
      </c>
      <c r="E58" s="354">
        <v>8</v>
      </c>
      <c r="F58" s="145"/>
      <c r="G58" s="145"/>
      <c r="H58" s="145"/>
      <c r="I58" s="145"/>
      <c r="J58" s="145"/>
      <c r="K58" s="145"/>
      <c r="L58" s="145"/>
      <c r="M58" s="204"/>
      <c r="N58" s="204"/>
      <c r="O58" s="204"/>
      <c r="P58" s="204"/>
      <c r="Q58" s="187"/>
    </row>
    <row r="59" spans="1:17" s="1" customFormat="1">
      <c r="A59" s="380">
        <f>A58+1</f>
        <v>43</v>
      </c>
      <c r="B59" s="380" t="s">
        <v>149</v>
      </c>
      <c r="C59" s="381" t="s">
        <v>445</v>
      </c>
      <c r="D59" s="484" t="s">
        <v>80</v>
      </c>
      <c r="E59" s="441">
        <v>5</v>
      </c>
      <c r="F59" s="150"/>
      <c r="G59" s="150"/>
      <c r="H59" s="150"/>
      <c r="I59" s="150"/>
      <c r="J59" s="150"/>
      <c r="K59" s="150"/>
      <c r="L59" s="150"/>
      <c r="M59" s="207"/>
      <c r="N59" s="207"/>
      <c r="O59" s="207"/>
      <c r="P59" s="207"/>
      <c r="Q59" s="187"/>
    </row>
    <row r="60" spans="1:17" s="1" customFormat="1">
      <c r="A60" s="370"/>
      <c r="B60" s="370"/>
      <c r="C60" s="358" t="s">
        <v>454</v>
      </c>
      <c r="D60" s="446"/>
      <c r="E60" s="470"/>
      <c r="F60" s="135"/>
      <c r="G60" s="135"/>
      <c r="H60" s="135"/>
      <c r="I60" s="135"/>
      <c r="J60" s="135"/>
      <c r="K60" s="135"/>
      <c r="L60" s="135"/>
      <c r="M60" s="136"/>
      <c r="N60" s="136"/>
      <c r="O60" s="136"/>
      <c r="P60" s="136"/>
      <c r="Q60" s="187"/>
    </row>
    <row r="61" spans="1:17" s="1" customFormat="1" ht="24">
      <c r="A61" s="385">
        <f>A59+1</f>
        <v>44</v>
      </c>
      <c r="B61" s="486" t="s">
        <v>149</v>
      </c>
      <c r="C61" s="487" t="s">
        <v>455</v>
      </c>
      <c r="D61" s="488" t="s">
        <v>80</v>
      </c>
      <c r="E61" s="497">
        <v>1</v>
      </c>
      <c r="F61" s="146"/>
      <c r="G61" s="146"/>
      <c r="H61" s="146"/>
      <c r="I61" s="146"/>
      <c r="J61" s="146"/>
      <c r="K61" s="146"/>
      <c r="L61" s="146"/>
      <c r="M61" s="205"/>
      <c r="N61" s="205"/>
      <c r="O61" s="205"/>
      <c r="P61" s="205"/>
      <c r="Q61" s="187"/>
    </row>
    <row r="62" spans="1:17" s="1" customFormat="1" ht="24">
      <c r="A62" s="348">
        <f t="shared" ref="A62:A68" si="3">A61+1</f>
        <v>45</v>
      </c>
      <c r="B62" s="464" t="s">
        <v>149</v>
      </c>
      <c r="C62" s="481" t="s">
        <v>456</v>
      </c>
      <c r="D62" s="482" t="s">
        <v>80</v>
      </c>
      <c r="E62" s="489">
        <v>2</v>
      </c>
      <c r="F62" s="145"/>
      <c r="G62" s="145"/>
      <c r="H62" s="145"/>
      <c r="I62" s="145"/>
      <c r="J62" s="145"/>
      <c r="K62" s="145"/>
      <c r="L62" s="145"/>
      <c r="M62" s="204"/>
      <c r="N62" s="204"/>
      <c r="O62" s="204"/>
      <c r="P62" s="204"/>
      <c r="Q62" s="187"/>
    </row>
    <row r="63" spans="1:17" s="1" customFormat="1">
      <c r="A63" s="348">
        <f t="shared" si="3"/>
        <v>46</v>
      </c>
      <c r="B63" s="464" t="s">
        <v>149</v>
      </c>
      <c r="C63" s="481" t="s">
        <v>106</v>
      </c>
      <c r="D63" s="482" t="s">
        <v>82</v>
      </c>
      <c r="E63" s="489">
        <v>1.2</v>
      </c>
      <c r="F63" s="145"/>
      <c r="G63" s="145"/>
      <c r="H63" s="145"/>
      <c r="I63" s="145"/>
      <c r="J63" s="145"/>
      <c r="K63" s="145"/>
      <c r="L63" s="145"/>
      <c r="M63" s="204"/>
      <c r="N63" s="204"/>
      <c r="O63" s="204"/>
      <c r="P63" s="204"/>
      <c r="Q63" s="187"/>
    </row>
    <row r="64" spans="1:17" s="1" customFormat="1">
      <c r="A64" s="348">
        <f t="shared" si="3"/>
        <v>47</v>
      </c>
      <c r="B64" s="348" t="s">
        <v>149</v>
      </c>
      <c r="C64" s="490" t="s">
        <v>457</v>
      </c>
      <c r="D64" s="348" t="s">
        <v>84</v>
      </c>
      <c r="E64" s="491">
        <v>0.3</v>
      </c>
      <c r="F64" s="145"/>
      <c r="G64" s="145"/>
      <c r="H64" s="145"/>
      <c r="I64" s="145"/>
      <c r="J64" s="145"/>
      <c r="K64" s="145"/>
      <c r="L64" s="145"/>
      <c r="M64" s="204"/>
      <c r="N64" s="204"/>
      <c r="O64" s="204"/>
      <c r="P64" s="204"/>
      <c r="Q64" s="187"/>
    </row>
    <row r="65" spans="1:17" s="1" customFormat="1" ht="36">
      <c r="A65" s="348">
        <f t="shared" si="3"/>
        <v>48</v>
      </c>
      <c r="B65" s="348" t="s">
        <v>149</v>
      </c>
      <c r="C65" s="377" t="s">
        <v>458</v>
      </c>
      <c r="D65" s="378" t="s">
        <v>1778</v>
      </c>
      <c r="E65" s="379">
        <f>0.32</f>
        <v>0.32</v>
      </c>
      <c r="F65" s="145"/>
      <c r="G65" s="145"/>
      <c r="H65" s="145"/>
      <c r="I65" s="145"/>
      <c r="J65" s="145"/>
      <c r="K65" s="145"/>
      <c r="L65" s="145"/>
      <c r="M65" s="204"/>
      <c r="N65" s="204"/>
      <c r="O65" s="204"/>
      <c r="P65" s="204"/>
      <c r="Q65" s="187"/>
    </row>
    <row r="66" spans="1:17" s="1" customFormat="1" ht="24">
      <c r="A66" s="348">
        <f t="shared" si="3"/>
        <v>49</v>
      </c>
      <c r="B66" s="348" t="s">
        <v>149</v>
      </c>
      <c r="C66" s="377" t="s">
        <v>459</v>
      </c>
      <c r="D66" s="378" t="s">
        <v>1778</v>
      </c>
      <c r="E66" s="379">
        <v>0.04</v>
      </c>
      <c r="F66" s="145"/>
      <c r="G66" s="145"/>
      <c r="H66" s="145"/>
      <c r="I66" s="145"/>
      <c r="J66" s="145"/>
      <c r="K66" s="145"/>
      <c r="L66" s="145"/>
      <c r="M66" s="204"/>
      <c r="N66" s="204"/>
      <c r="O66" s="204"/>
      <c r="P66" s="204"/>
      <c r="Q66" s="187"/>
    </row>
    <row r="67" spans="1:17" s="1" customFormat="1">
      <c r="A67" s="348">
        <f t="shared" si="3"/>
        <v>50</v>
      </c>
      <c r="B67" s="348" t="s">
        <v>149</v>
      </c>
      <c r="C67" s="377" t="s">
        <v>460</v>
      </c>
      <c r="D67" s="378" t="s">
        <v>1778</v>
      </c>
      <c r="E67" s="379">
        <v>0.02</v>
      </c>
      <c r="F67" s="145"/>
      <c r="G67" s="145"/>
      <c r="H67" s="145"/>
      <c r="I67" s="145"/>
      <c r="J67" s="145"/>
      <c r="K67" s="145"/>
      <c r="L67" s="145"/>
      <c r="M67" s="204"/>
      <c r="N67" s="204"/>
      <c r="O67" s="204"/>
      <c r="P67" s="204"/>
      <c r="Q67" s="187"/>
    </row>
    <row r="68" spans="1:17" s="1" customFormat="1">
      <c r="A68" s="348">
        <f t="shared" si="3"/>
        <v>51</v>
      </c>
      <c r="B68" s="348" t="s">
        <v>149</v>
      </c>
      <c r="C68" s="377" t="s">
        <v>461</v>
      </c>
      <c r="D68" s="378" t="s">
        <v>82</v>
      </c>
      <c r="E68" s="379">
        <v>0.7</v>
      </c>
      <c r="F68" s="145"/>
      <c r="G68" s="145"/>
      <c r="H68" s="145"/>
      <c r="I68" s="145"/>
      <c r="J68" s="145"/>
      <c r="K68" s="145"/>
      <c r="L68" s="145"/>
      <c r="M68" s="204"/>
      <c r="N68" s="204"/>
      <c r="O68" s="204"/>
      <c r="P68" s="204"/>
      <c r="Q68" s="187"/>
    </row>
    <row r="69" spans="1:17" s="1" customFormat="1" ht="24">
      <c r="A69" s="380">
        <v>52</v>
      </c>
      <c r="B69" s="492" t="s">
        <v>149</v>
      </c>
      <c r="C69" s="493" t="s">
        <v>434</v>
      </c>
      <c r="D69" s="494" t="s">
        <v>77</v>
      </c>
      <c r="E69" s="498">
        <v>2</v>
      </c>
      <c r="F69" s="150"/>
      <c r="G69" s="150"/>
      <c r="H69" s="150"/>
      <c r="I69" s="150"/>
      <c r="J69" s="150"/>
      <c r="K69" s="150"/>
      <c r="L69" s="150"/>
      <c r="M69" s="207"/>
      <c r="N69" s="207"/>
      <c r="O69" s="207"/>
      <c r="P69" s="207"/>
      <c r="Q69" s="187"/>
    </row>
    <row r="70" spans="1:17" s="1" customFormat="1">
      <c r="A70" s="370"/>
      <c r="B70" s="370"/>
      <c r="C70" s="358" t="s">
        <v>462</v>
      </c>
      <c r="D70" s="446"/>
      <c r="E70" s="470"/>
      <c r="F70" s="135"/>
      <c r="G70" s="135"/>
      <c r="H70" s="135"/>
      <c r="I70" s="135"/>
      <c r="J70" s="135"/>
      <c r="K70" s="135"/>
      <c r="L70" s="135"/>
      <c r="M70" s="136"/>
      <c r="N70" s="136"/>
      <c r="O70" s="136"/>
      <c r="P70" s="136"/>
      <c r="Q70" s="187"/>
    </row>
    <row r="71" spans="1:17" s="1" customFormat="1" ht="24">
      <c r="A71" s="385">
        <v>53</v>
      </c>
      <c r="B71" s="486" t="s">
        <v>149</v>
      </c>
      <c r="C71" s="487" t="s">
        <v>463</v>
      </c>
      <c r="D71" s="488" t="s">
        <v>80</v>
      </c>
      <c r="E71" s="497">
        <v>2</v>
      </c>
      <c r="F71" s="146"/>
      <c r="G71" s="146"/>
      <c r="H71" s="146"/>
      <c r="I71" s="146"/>
      <c r="J71" s="146"/>
      <c r="K71" s="146"/>
      <c r="L71" s="146"/>
      <c r="M71" s="205"/>
      <c r="N71" s="205"/>
      <c r="O71" s="205"/>
      <c r="P71" s="205"/>
      <c r="Q71" s="187"/>
    </row>
    <row r="72" spans="1:17" s="1" customFormat="1" ht="24">
      <c r="A72" s="348">
        <f t="shared" ref="A72:A78" si="4">A71+1</f>
        <v>54</v>
      </c>
      <c r="B72" s="464" t="s">
        <v>149</v>
      </c>
      <c r="C72" s="481" t="s">
        <v>464</v>
      </c>
      <c r="D72" s="482" t="s">
        <v>80</v>
      </c>
      <c r="E72" s="489">
        <v>1</v>
      </c>
      <c r="F72" s="145"/>
      <c r="G72" s="145"/>
      <c r="H72" s="145"/>
      <c r="I72" s="145"/>
      <c r="J72" s="145"/>
      <c r="K72" s="145"/>
      <c r="L72" s="145"/>
      <c r="M72" s="204"/>
      <c r="N72" s="204"/>
      <c r="O72" s="204"/>
      <c r="P72" s="204"/>
      <c r="Q72" s="187"/>
    </row>
    <row r="73" spans="1:17" s="1" customFormat="1">
      <c r="A73" s="348">
        <f t="shared" si="4"/>
        <v>55</v>
      </c>
      <c r="B73" s="464" t="s">
        <v>149</v>
      </c>
      <c r="C73" s="481" t="s">
        <v>106</v>
      </c>
      <c r="D73" s="482" t="s">
        <v>82</v>
      </c>
      <c r="E73" s="489">
        <v>4</v>
      </c>
      <c r="F73" s="145"/>
      <c r="G73" s="145"/>
      <c r="H73" s="145"/>
      <c r="I73" s="145"/>
      <c r="J73" s="145"/>
      <c r="K73" s="145"/>
      <c r="L73" s="145"/>
      <c r="M73" s="204"/>
      <c r="N73" s="204"/>
      <c r="O73" s="204"/>
      <c r="P73" s="204"/>
      <c r="Q73" s="187"/>
    </row>
    <row r="74" spans="1:17" s="1" customFormat="1">
      <c r="A74" s="348">
        <f t="shared" si="4"/>
        <v>56</v>
      </c>
      <c r="B74" s="348" t="s">
        <v>149</v>
      </c>
      <c r="C74" s="490" t="s">
        <v>457</v>
      </c>
      <c r="D74" s="348" t="s">
        <v>84</v>
      </c>
      <c r="E74" s="491">
        <v>0.9</v>
      </c>
      <c r="F74" s="145"/>
      <c r="G74" s="145"/>
      <c r="H74" s="145"/>
      <c r="I74" s="145"/>
      <c r="J74" s="145"/>
      <c r="K74" s="145"/>
      <c r="L74" s="145"/>
      <c r="M74" s="204"/>
      <c r="N74" s="204"/>
      <c r="O74" s="204"/>
      <c r="P74" s="204"/>
      <c r="Q74" s="187"/>
    </row>
    <row r="75" spans="1:17" s="1" customFormat="1" ht="36">
      <c r="A75" s="348">
        <f t="shared" si="4"/>
        <v>57</v>
      </c>
      <c r="B75" s="348" t="s">
        <v>149</v>
      </c>
      <c r="C75" s="377" t="s">
        <v>458</v>
      </c>
      <c r="D75" s="378" t="s">
        <v>1778</v>
      </c>
      <c r="E75" s="379">
        <v>0.96</v>
      </c>
      <c r="F75" s="145"/>
      <c r="G75" s="145"/>
      <c r="H75" s="145"/>
      <c r="I75" s="145"/>
      <c r="J75" s="145"/>
      <c r="K75" s="145"/>
      <c r="L75" s="145"/>
      <c r="M75" s="204"/>
      <c r="N75" s="204"/>
      <c r="O75" s="204"/>
      <c r="P75" s="204"/>
      <c r="Q75" s="187"/>
    </row>
    <row r="76" spans="1:17" s="1" customFormat="1" ht="24">
      <c r="A76" s="348">
        <f t="shared" si="4"/>
        <v>58</v>
      </c>
      <c r="B76" s="348" t="s">
        <v>149</v>
      </c>
      <c r="C76" s="377" t="s">
        <v>459</v>
      </c>
      <c r="D76" s="378" t="s">
        <v>1778</v>
      </c>
      <c r="E76" s="379">
        <v>0.12</v>
      </c>
      <c r="F76" s="145"/>
      <c r="G76" s="145"/>
      <c r="H76" s="145"/>
      <c r="I76" s="145"/>
      <c r="J76" s="145"/>
      <c r="K76" s="145"/>
      <c r="L76" s="145"/>
      <c r="M76" s="204"/>
      <c r="N76" s="204"/>
      <c r="O76" s="204"/>
      <c r="P76" s="204"/>
      <c r="Q76" s="187"/>
    </row>
    <row r="77" spans="1:17" s="1" customFormat="1">
      <c r="A77" s="348">
        <f t="shared" si="4"/>
        <v>59</v>
      </c>
      <c r="B77" s="348" t="s">
        <v>149</v>
      </c>
      <c r="C77" s="377" t="s">
        <v>460</v>
      </c>
      <c r="D77" s="378" t="s">
        <v>1778</v>
      </c>
      <c r="E77" s="379">
        <v>0.06</v>
      </c>
      <c r="F77" s="145"/>
      <c r="G77" s="145"/>
      <c r="H77" s="145"/>
      <c r="I77" s="145"/>
      <c r="J77" s="145"/>
      <c r="K77" s="145"/>
      <c r="L77" s="145"/>
      <c r="M77" s="204"/>
      <c r="N77" s="204"/>
      <c r="O77" s="204"/>
      <c r="P77" s="204"/>
      <c r="Q77" s="187"/>
    </row>
    <row r="78" spans="1:17" s="1" customFormat="1">
      <c r="A78" s="348">
        <f t="shared" si="4"/>
        <v>60</v>
      </c>
      <c r="B78" s="348" t="s">
        <v>149</v>
      </c>
      <c r="C78" s="377" t="s">
        <v>461</v>
      </c>
      <c r="D78" s="378" t="s">
        <v>82</v>
      </c>
      <c r="E78" s="379">
        <v>2.8</v>
      </c>
      <c r="F78" s="145"/>
      <c r="G78" s="145"/>
      <c r="H78" s="145"/>
      <c r="I78" s="145"/>
      <c r="J78" s="145"/>
      <c r="K78" s="145"/>
      <c r="L78" s="145"/>
      <c r="M78" s="204"/>
      <c r="N78" s="204"/>
      <c r="O78" s="204"/>
      <c r="P78" s="204"/>
      <c r="Q78" s="187"/>
    </row>
    <row r="79" spans="1:17" s="1" customFormat="1" ht="24">
      <c r="A79" s="348">
        <v>61</v>
      </c>
      <c r="B79" s="464" t="s">
        <v>149</v>
      </c>
      <c r="C79" s="481" t="s">
        <v>434</v>
      </c>
      <c r="D79" s="482" t="s">
        <v>77</v>
      </c>
      <c r="E79" s="489">
        <v>2.5</v>
      </c>
      <c r="F79" s="145"/>
      <c r="G79" s="145"/>
      <c r="H79" s="145"/>
      <c r="I79" s="145"/>
      <c r="J79" s="145"/>
      <c r="K79" s="145"/>
      <c r="L79" s="145"/>
      <c r="M79" s="204"/>
      <c r="N79" s="204"/>
      <c r="O79" s="204"/>
      <c r="P79" s="204"/>
      <c r="Q79" s="187"/>
    </row>
    <row r="80" spans="1:17" s="1" customFormat="1">
      <c r="A80" s="348">
        <v>62</v>
      </c>
      <c r="B80" s="348" t="s">
        <v>149</v>
      </c>
      <c r="C80" s="377" t="s">
        <v>465</v>
      </c>
      <c r="D80" s="378" t="s">
        <v>1778</v>
      </c>
      <c r="E80" s="379">
        <v>0.8</v>
      </c>
      <c r="F80" s="145"/>
      <c r="G80" s="145"/>
      <c r="H80" s="145"/>
      <c r="I80" s="145"/>
      <c r="J80" s="145"/>
      <c r="K80" s="145"/>
      <c r="L80" s="145"/>
      <c r="M80" s="204"/>
      <c r="N80" s="204"/>
      <c r="O80" s="204"/>
      <c r="P80" s="204"/>
      <c r="Q80" s="187"/>
    </row>
    <row r="81" spans="1:17" s="1" customFormat="1">
      <c r="A81" s="348">
        <v>63</v>
      </c>
      <c r="B81" s="348" t="s">
        <v>149</v>
      </c>
      <c r="C81" s="377" t="s">
        <v>466</v>
      </c>
      <c r="D81" s="378" t="s">
        <v>82</v>
      </c>
      <c r="E81" s="379">
        <v>2</v>
      </c>
      <c r="F81" s="145"/>
      <c r="G81" s="145"/>
      <c r="H81" s="145"/>
      <c r="I81" s="145"/>
      <c r="J81" s="145"/>
      <c r="K81" s="145"/>
      <c r="L81" s="145"/>
      <c r="M81" s="204"/>
      <c r="N81" s="204"/>
      <c r="O81" s="204"/>
      <c r="P81" s="204"/>
      <c r="Q81" s="187"/>
    </row>
    <row r="82" spans="1:17" s="1" customFormat="1" ht="24">
      <c r="A82" s="380">
        <v>64</v>
      </c>
      <c r="B82" s="380" t="s">
        <v>149</v>
      </c>
      <c r="C82" s="381" t="s">
        <v>467</v>
      </c>
      <c r="D82" s="382" t="s">
        <v>77</v>
      </c>
      <c r="E82" s="383">
        <v>2.9</v>
      </c>
      <c r="F82" s="150"/>
      <c r="G82" s="150"/>
      <c r="H82" s="150"/>
      <c r="I82" s="150"/>
      <c r="J82" s="150"/>
      <c r="K82" s="150"/>
      <c r="L82" s="150"/>
      <c r="M82" s="207"/>
      <c r="N82" s="207"/>
      <c r="O82" s="207"/>
      <c r="P82" s="207"/>
      <c r="Q82" s="187"/>
    </row>
    <row r="83" spans="1:17" s="1" customFormat="1">
      <c r="A83" s="370"/>
      <c r="B83" s="370"/>
      <c r="C83" s="358" t="s">
        <v>468</v>
      </c>
      <c r="D83" s="446"/>
      <c r="E83" s="470"/>
      <c r="F83" s="135"/>
      <c r="G83" s="135"/>
      <c r="H83" s="135"/>
      <c r="I83" s="135"/>
      <c r="J83" s="135"/>
      <c r="K83" s="135"/>
      <c r="L83" s="135"/>
      <c r="M83" s="136"/>
      <c r="N83" s="136"/>
      <c r="O83" s="136"/>
      <c r="P83" s="136"/>
      <c r="Q83" s="187"/>
    </row>
    <row r="84" spans="1:17" s="1" customFormat="1" ht="24">
      <c r="A84" s="385">
        <v>65</v>
      </c>
      <c r="B84" s="486" t="s">
        <v>149</v>
      </c>
      <c r="C84" s="487" t="s">
        <v>469</v>
      </c>
      <c r="D84" s="488" t="s">
        <v>80</v>
      </c>
      <c r="E84" s="497">
        <v>2</v>
      </c>
      <c r="F84" s="146"/>
      <c r="G84" s="146"/>
      <c r="H84" s="146"/>
      <c r="I84" s="146"/>
      <c r="J84" s="146"/>
      <c r="K84" s="146"/>
      <c r="L84" s="146"/>
      <c r="M84" s="205"/>
      <c r="N84" s="205"/>
      <c r="O84" s="205"/>
      <c r="P84" s="205"/>
      <c r="Q84" s="187"/>
    </row>
    <row r="85" spans="1:17" s="1" customFormat="1" ht="24">
      <c r="A85" s="348">
        <f t="shared" ref="A85:A91" si="5">A84+1</f>
        <v>66</v>
      </c>
      <c r="B85" s="464" t="s">
        <v>149</v>
      </c>
      <c r="C85" s="481" t="s">
        <v>470</v>
      </c>
      <c r="D85" s="482" t="s">
        <v>80</v>
      </c>
      <c r="E85" s="489">
        <v>1</v>
      </c>
      <c r="F85" s="145"/>
      <c r="G85" s="145"/>
      <c r="H85" s="145"/>
      <c r="I85" s="145"/>
      <c r="J85" s="145"/>
      <c r="K85" s="145"/>
      <c r="L85" s="145"/>
      <c r="M85" s="204"/>
      <c r="N85" s="204"/>
      <c r="O85" s="204"/>
      <c r="P85" s="204"/>
      <c r="Q85" s="187"/>
    </row>
    <row r="86" spans="1:17" s="1" customFormat="1">
      <c r="A86" s="348">
        <f t="shared" si="5"/>
        <v>67</v>
      </c>
      <c r="B86" s="464" t="s">
        <v>149</v>
      </c>
      <c r="C86" s="481" t="s">
        <v>106</v>
      </c>
      <c r="D86" s="482" t="s">
        <v>82</v>
      </c>
      <c r="E86" s="489">
        <v>3.3</v>
      </c>
      <c r="F86" s="145"/>
      <c r="G86" s="145"/>
      <c r="H86" s="145"/>
      <c r="I86" s="145"/>
      <c r="J86" s="145"/>
      <c r="K86" s="145"/>
      <c r="L86" s="145"/>
      <c r="M86" s="204"/>
      <c r="N86" s="204"/>
      <c r="O86" s="204"/>
      <c r="P86" s="204"/>
      <c r="Q86" s="187"/>
    </row>
    <row r="87" spans="1:17" s="1" customFormat="1">
      <c r="A87" s="348">
        <f t="shared" si="5"/>
        <v>68</v>
      </c>
      <c r="B87" s="348" t="s">
        <v>149</v>
      </c>
      <c r="C87" s="490" t="s">
        <v>457</v>
      </c>
      <c r="D87" s="348" t="s">
        <v>84</v>
      </c>
      <c r="E87" s="491">
        <v>0.6</v>
      </c>
      <c r="F87" s="145"/>
      <c r="G87" s="145"/>
      <c r="H87" s="145"/>
      <c r="I87" s="145"/>
      <c r="J87" s="145"/>
      <c r="K87" s="145"/>
      <c r="L87" s="145"/>
      <c r="M87" s="204"/>
      <c r="N87" s="204"/>
      <c r="O87" s="204"/>
      <c r="P87" s="204"/>
      <c r="Q87" s="187"/>
    </row>
    <row r="88" spans="1:17" s="1" customFormat="1" ht="36">
      <c r="A88" s="348">
        <f t="shared" si="5"/>
        <v>69</v>
      </c>
      <c r="B88" s="348" t="s">
        <v>149</v>
      </c>
      <c r="C88" s="377" t="s">
        <v>458</v>
      </c>
      <c r="D88" s="378" t="s">
        <v>1778</v>
      </c>
      <c r="E88" s="379">
        <v>0.6</v>
      </c>
      <c r="F88" s="145"/>
      <c r="G88" s="145"/>
      <c r="H88" s="145"/>
      <c r="I88" s="145"/>
      <c r="J88" s="145"/>
      <c r="K88" s="145"/>
      <c r="L88" s="145"/>
      <c r="M88" s="204"/>
      <c r="N88" s="204"/>
      <c r="O88" s="204"/>
      <c r="P88" s="204"/>
      <c r="Q88" s="187"/>
    </row>
    <row r="89" spans="1:17" s="1" customFormat="1" ht="24">
      <c r="A89" s="348">
        <f t="shared" si="5"/>
        <v>70</v>
      </c>
      <c r="B89" s="348" t="s">
        <v>149</v>
      </c>
      <c r="C89" s="377" t="s">
        <v>459</v>
      </c>
      <c r="D89" s="378" t="s">
        <v>1778</v>
      </c>
      <c r="E89" s="379">
        <v>0.1</v>
      </c>
      <c r="F89" s="145"/>
      <c r="G89" s="145"/>
      <c r="H89" s="145"/>
      <c r="I89" s="145"/>
      <c r="J89" s="145"/>
      <c r="K89" s="145"/>
      <c r="L89" s="145"/>
      <c r="M89" s="204"/>
      <c r="N89" s="204"/>
      <c r="O89" s="204"/>
      <c r="P89" s="204"/>
      <c r="Q89" s="187"/>
    </row>
    <row r="90" spans="1:17" s="1" customFormat="1">
      <c r="A90" s="348">
        <f t="shared" si="5"/>
        <v>71</v>
      </c>
      <c r="B90" s="348" t="s">
        <v>149</v>
      </c>
      <c r="C90" s="377" t="s">
        <v>460</v>
      </c>
      <c r="D90" s="378" t="s">
        <v>1778</v>
      </c>
      <c r="E90" s="379">
        <v>0.05</v>
      </c>
      <c r="F90" s="145"/>
      <c r="G90" s="145"/>
      <c r="H90" s="145"/>
      <c r="I90" s="145"/>
      <c r="J90" s="145"/>
      <c r="K90" s="145"/>
      <c r="L90" s="145"/>
      <c r="M90" s="204"/>
      <c r="N90" s="204"/>
      <c r="O90" s="204"/>
      <c r="P90" s="204"/>
      <c r="Q90" s="187"/>
    </row>
    <row r="91" spans="1:17" s="1" customFormat="1">
      <c r="A91" s="348">
        <f t="shared" si="5"/>
        <v>72</v>
      </c>
      <c r="B91" s="348" t="s">
        <v>149</v>
      </c>
      <c r="C91" s="377" t="s">
        <v>461</v>
      </c>
      <c r="D91" s="378" t="s">
        <v>82</v>
      </c>
      <c r="E91" s="379">
        <v>2.0299999999999998</v>
      </c>
      <c r="F91" s="145"/>
      <c r="G91" s="145"/>
      <c r="H91" s="145"/>
      <c r="I91" s="145"/>
      <c r="J91" s="145"/>
      <c r="K91" s="145"/>
      <c r="L91" s="145"/>
      <c r="M91" s="204"/>
      <c r="N91" s="204"/>
      <c r="O91" s="204"/>
      <c r="P91" s="204"/>
      <c r="Q91" s="187"/>
    </row>
    <row r="92" spans="1:17" s="1" customFormat="1" ht="24">
      <c r="A92" s="348">
        <v>73</v>
      </c>
      <c r="B92" s="464" t="s">
        <v>149</v>
      </c>
      <c r="C92" s="481" t="s">
        <v>434</v>
      </c>
      <c r="D92" s="482" t="s">
        <v>77</v>
      </c>
      <c r="E92" s="489">
        <v>4</v>
      </c>
      <c r="F92" s="145"/>
      <c r="G92" s="145"/>
      <c r="H92" s="145"/>
      <c r="I92" s="145"/>
      <c r="J92" s="145"/>
      <c r="K92" s="145"/>
      <c r="L92" s="145"/>
      <c r="M92" s="204"/>
      <c r="N92" s="204"/>
      <c r="O92" s="204"/>
      <c r="P92" s="204"/>
      <c r="Q92" s="187"/>
    </row>
    <row r="93" spans="1:17" s="1" customFormat="1">
      <c r="A93" s="348">
        <v>74</v>
      </c>
      <c r="B93" s="348" t="s">
        <v>149</v>
      </c>
      <c r="C93" s="377" t="s">
        <v>465</v>
      </c>
      <c r="D93" s="378" t="s">
        <v>1778</v>
      </c>
      <c r="E93" s="379">
        <v>0.45</v>
      </c>
      <c r="F93" s="145"/>
      <c r="G93" s="145"/>
      <c r="H93" s="145"/>
      <c r="I93" s="145"/>
      <c r="J93" s="145"/>
      <c r="K93" s="145"/>
      <c r="L93" s="145"/>
      <c r="M93" s="204"/>
      <c r="N93" s="204"/>
      <c r="O93" s="204"/>
      <c r="P93" s="204"/>
      <c r="Q93" s="187"/>
    </row>
    <row r="94" spans="1:17" s="1" customFormat="1">
      <c r="A94" s="348">
        <v>75</v>
      </c>
      <c r="B94" s="348" t="s">
        <v>149</v>
      </c>
      <c r="C94" s="377" t="s">
        <v>466</v>
      </c>
      <c r="D94" s="378" t="s">
        <v>82</v>
      </c>
      <c r="E94" s="379">
        <v>1.6</v>
      </c>
      <c r="F94" s="145"/>
      <c r="G94" s="145"/>
      <c r="H94" s="145"/>
      <c r="I94" s="145"/>
      <c r="J94" s="145"/>
      <c r="K94" s="145"/>
      <c r="L94" s="145"/>
      <c r="M94" s="204"/>
      <c r="N94" s="204"/>
      <c r="O94" s="204"/>
      <c r="P94" s="204"/>
      <c r="Q94" s="187"/>
    </row>
    <row r="95" spans="1:17" s="1" customFormat="1" ht="24">
      <c r="A95" s="380">
        <v>76</v>
      </c>
      <c r="B95" s="380" t="s">
        <v>149</v>
      </c>
      <c r="C95" s="381" t="s">
        <v>471</v>
      </c>
      <c r="D95" s="382" t="s">
        <v>77</v>
      </c>
      <c r="E95" s="383">
        <v>1.9</v>
      </c>
      <c r="F95" s="150"/>
      <c r="G95" s="150"/>
      <c r="H95" s="150"/>
      <c r="I95" s="150"/>
      <c r="J95" s="150"/>
      <c r="K95" s="150"/>
      <c r="L95" s="150"/>
      <c r="M95" s="207"/>
      <c r="N95" s="207"/>
      <c r="O95" s="207"/>
      <c r="P95" s="207"/>
      <c r="Q95" s="187"/>
    </row>
    <row r="96" spans="1:17" s="1" customFormat="1">
      <c r="A96" s="370"/>
      <c r="B96" s="370"/>
      <c r="C96" s="358" t="s">
        <v>472</v>
      </c>
      <c r="D96" s="446"/>
      <c r="E96" s="470"/>
      <c r="F96" s="135"/>
      <c r="G96" s="135"/>
      <c r="H96" s="135"/>
      <c r="I96" s="135"/>
      <c r="J96" s="135"/>
      <c r="K96" s="135"/>
      <c r="L96" s="135"/>
      <c r="M96" s="136"/>
      <c r="N96" s="136"/>
      <c r="O96" s="136"/>
      <c r="P96" s="136"/>
      <c r="Q96" s="187"/>
    </row>
    <row r="97" spans="1:17" s="1" customFormat="1" ht="24">
      <c r="A97" s="385">
        <v>77</v>
      </c>
      <c r="B97" s="486" t="s">
        <v>149</v>
      </c>
      <c r="C97" s="487" t="s">
        <v>473</v>
      </c>
      <c r="D97" s="488" t="s">
        <v>80</v>
      </c>
      <c r="E97" s="497">
        <v>2</v>
      </c>
      <c r="F97" s="146"/>
      <c r="G97" s="146"/>
      <c r="H97" s="146"/>
      <c r="I97" s="146"/>
      <c r="J97" s="146"/>
      <c r="K97" s="146"/>
      <c r="L97" s="146"/>
      <c r="M97" s="205"/>
      <c r="N97" s="205"/>
      <c r="O97" s="205"/>
      <c r="P97" s="205"/>
      <c r="Q97" s="187"/>
    </row>
    <row r="98" spans="1:17" s="1" customFormat="1" ht="24">
      <c r="A98" s="348">
        <f t="shared" ref="A98:A104" si="6">A97+1</f>
        <v>78</v>
      </c>
      <c r="B98" s="464" t="s">
        <v>149</v>
      </c>
      <c r="C98" s="481" t="s">
        <v>474</v>
      </c>
      <c r="D98" s="482" t="s">
        <v>80</v>
      </c>
      <c r="E98" s="489">
        <v>1</v>
      </c>
      <c r="F98" s="145"/>
      <c r="G98" s="145"/>
      <c r="H98" s="145"/>
      <c r="I98" s="145"/>
      <c r="J98" s="145"/>
      <c r="K98" s="145"/>
      <c r="L98" s="145"/>
      <c r="M98" s="204"/>
      <c r="N98" s="204"/>
      <c r="O98" s="204"/>
      <c r="P98" s="204"/>
      <c r="Q98" s="187"/>
    </row>
    <row r="99" spans="1:17" s="1" customFormat="1">
      <c r="A99" s="348">
        <f t="shared" si="6"/>
        <v>79</v>
      </c>
      <c r="B99" s="464" t="s">
        <v>149</v>
      </c>
      <c r="C99" s="481" t="s">
        <v>106</v>
      </c>
      <c r="D99" s="482" t="s">
        <v>82</v>
      </c>
      <c r="E99" s="489">
        <v>26</v>
      </c>
      <c r="F99" s="145"/>
      <c r="G99" s="145"/>
      <c r="H99" s="145"/>
      <c r="I99" s="145"/>
      <c r="J99" s="145"/>
      <c r="K99" s="145"/>
      <c r="L99" s="145"/>
      <c r="M99" s="204"/>
      <c r="N99" s="204"/>
      <c r="O99" s="204"/>
      <c r="P99" s="204"/>
      <c r="Q99" s="187"/>
    </row>
    <row r="100" spans="1:17" s="1" customFormat="1">
      <c r="A100" s="348">
        <f t="shared" si="6"/>
        <v>80</v>
      </c>
      <c r="B100" s="348" t="s">
        <v>149</v>
      </c>
      <c r="C100" s="490" t="s">
        <v>457</v>
      </c>
      <c r="D100" s="348" t="s">
        <v>84</v>
      </c>
      <c r="E100" s="491">
        <v>5.0999999999999996</v>
      </c>
      <c r="F100" s="145"/>
      <c r="G100" s="145"/>
      <c r="H100" s="145"/>
      <c r="I100" s="145"/>
      <c r="J100" s="145"/>
      <c r="K100" s="145"/>
      <c r="L100" s="145"/>
      <c r="M100" s="204"/>
      <c r="N100" s="204"/>
      <c r="O100" s="204"/>
      <c r="P100" s="204"/>
      <c r="Q100" s="187"/>
    </row>
    <row r="101" spans="1:17" s="1" customFormat="1" ht="36">
      <c r="A101" s="348">
        <f t="shared" si="6"/>
        <v>81</v>
      </c>
      <c r="B101" s="348" t="s">
        <v>149</v>
      </c>
      <c r="C101" s="377" t="s">
        <v>458</v>
      </c>
      <c r="D101" s="378" t="s">
        <v>1778</v>
      </c>
      <c r="E101" s="379">
        <v>3.9</v>
      </c>
      <c r="F101" s="145"/>
      <c r="G101" s="145"/>
      <c r="H101" s="145"/>
      <c r="I101" s="145"/>
      <c r="J101" s="145"/>
      <c r="K101" s="145"/>
      <c r="L101" s="145"/>
      <c r="M101" s="204"/>
      <c r="N101" s="204"/>
      <c r="O101" s="204"/>
      <c r="P101" s="204"/>
      <c r="Q101" s="187"/>
    </row>
    <row r="102" spans="1:17" s="1" customFormat="1" ht="24">
      <c r="A102" s="348">
        <f t="shared" si="6"/>
        <v>82</v>
      </c>
      <c r="B102" s="348" t="s">
        <v>149</v>
      </c>
      <c r="C102" s="377" t="s">
        <v>459</v>
      </c>
      <c r="D102" s="378" t="s">
        <v>1778</v>
      </c>
      <c r="E102" s="379">
        <v>1.3</v>
      </c>
      <c r="F102" s="145"/>
      <c r="G102" s="145"/>
      <c r="H102" s="145"/>
      <c r="I102" s="145"/>
      <c r="J102" s="145"/>
      <c r="K102" s="145"/>
      <c r="L102" s="145"/>
      <c r="M102" s="204"/>
      <c r="N102" s="204"/>
      <c r="O102" s="204"/>
      <c r="P102" s="204"/>
      <c r="Q102" s="187"/>
    </row>
    <row r="103" spans="1:17" s="1" customFormat="1">
      <c r="A103" s="348">
        <f t="shared" si="6"/>
        <v>83</v>
      </c>
      <c r="B103" s="348" t="s">
        <v>149</v>
      </c>
      <c r="C103" s="377" t="s">
        <v>460</v>
      </c>
      <c r="D103" s="378" t="s">
        <v>1778</v>
      </c>
      <c r="E103" s="379">
        <v>0.45</v>
      </c>
      <c r="F103" s="145"/>
      <c r="G103" s="145"/>
      <c r="H103" s="145"/>
      <c r="I103" s="145"/>
      <c r="J103" s="145"/>
      <c r="K103" s="145"/>
      <c r="L103" s="145"/>
      <c r="M103" s="204"/>
      <c r="N103" s="204"/>
      <c r="O103" s="204"/>
      <c r="P103" s="204"/>
      <c r="Q103" s="187"/>
    </row>
    <row r="104" spans="1:17" s="1" customFormat="1">
      <c r="A104" s="348">
        <f t="shared" si="6"/>
        <v>84</v>
      </c>
      <c r="B104" s="348" t="s">
        <v>149</v>
      </c>
      <c r="C104" s="377" t="s">
        <v>461</v>
      </c>
      <c r="D104" s="378" t="s">
        <v>82</v>
      </c>
      <c r="E104" s="379">
        <v>18</v>
      </c>
      <c r="F104" s="145"/>
      <c r="G104" s="145"/>
      <c r="H104" s="145"/>
      <c r="I104" s="145"/>
      <c r="J104" s="145"/>
      <c r="K104" s="145"/>
      <c r="L104" s="145"/>
      <c r="M104" s="204"/>
      <c r="N104" s="204"/>
      <c r="O104" s="204"/>
      <c r="P104" s="204"/>
      <c r="Q104" s="187"/>
    </row>
    <row r="105" spans="1:17" s="1" customFormat="1" ht="24">
      <c r="A105" s="348">
        <v>85</v>
      </c>
      <c r="B105" s="464" t="s">
        <v>149</v>
      </c>
      <c r="C105" s="481" t="s">
        <v>434</v>
      </c>
      <c r="D105" s="482" t="s">
        <v>77</v>
      </c>
      <c r="E105" s="489">
        <v>10</v>
      </c>
      <c r="F105" s="145"/>
      <c r="G105" s="145"/>
      <c r="H105" s="145"/>
      <c r="I105" s="145"/>
      <c r="J105" s="145"/>
      <c r="K105" s="145"/>
      <c r="L105" s="145"/>
      <c r="M105" s="204"/>
      <c r="N105" s="204"/>
      <c r="O105" s="204"/>
      <c r="P105" s="204"/>
      <c r="Q105" s="187"/>
    </row>
    <row r="106" spans="1:17" s="1" customFormat="1">
      <c r="A106" s="348">
        <v>86</v>
      </c>
      <c r="B106" s="348" t="s">
        <v>149</v>
      </c>
      <c r="C106" s="377" t="s">
        <v>465</v>
      </c>
      <c r="D106" s="378" t="s">
        <v>1778</v>
      </c>
      <c r="E106" s="379">
        <v>3.6</v>
      </c>
      <c r="F106" s="145"/>
      <c r="G106" s="145"/>
      <c r="H106" s="145"/>
      <c r="I106" s="145"/>
      <c r="J106" s="145"/>
      <c r="K106" s="145"/>
      <c r="L106" s="145"/>
      <c r="M106" s="204"/>
      <c r="N106" s="204"/>
      <c r="O106" s="204"/>
      <c r="P106" s="204"/>
      <c r="Q106" s="187"/>
    </row>
    <row r="107" spans="1:17" s="1" customFormat="1">
      <c r="A107" s="348">
        <v>87</v>
      </c>
      <c r="B107" s="348" t="s">
        <v>149</v>
      </c>
      <c r="C107" s="377" t="s">
        <v>466</v>
      </c>
      <c r="D107" s="378" t="s">
        <v>82</v>
      </c>
      <c r="E107" s="379">
        <v>12</v>
      </c>
      <c r="F107" s="145"/>
      <c r="G107" s="145"/>
      <c r="H107" s="145"/>
      <c r="I107" s="145"/>
      <c r="J107" s="145"/>
      <c r="K107" s="145"/>
      <c r="L107" s="145"/>
      <c r="M107" s="204"/>
      <c r="N107" s="204"/>
      <c r="O107" s="204"/>
      <c r="P107" s="204"/>
      <c r="Q107" s="187"/>
    </row>
    <row r="108" spans="1:17" s="1" customFormat="1">
      <c r="A108" s="348">
        <v>88</v>
      </c>
      <c r="B108" s="348" t="s">
        <v>149</v>
      </c>
      <c r="C108" s="377" t="s">
        <v>475</v>
      </c>
      <c r="D108" s="378" t="s">
        <v>82</v>
      </c>
      <c r="E108" s="379">
        <v>4.3899999999999997</v>
      </c>
      <c r="F108" s="145"/>
      <c r="G108" s="145"/>
      <c r="H108" s="145"/>
      <c r="I108" s="145"/>
      <c r="J108" s="145"/>
      <c r="K108" s="145"/>
      <c r="L108" s="145"/>
      <c r="M108" s="204"/>
      <c r="N108" s="204"/>
      <c r="O108" s="204"/>
      <c r="P108" s="204"/>
      <c r="Q108" s="187"/>
    </row>
    <row r="109" spans="1:17" s="1" customFormat="1" ht="24">
      <c r="A109" s="380">
        <v>89</v>
      </c>
      <c r="B109" s="380" t="s">
        <v>149</v>
      </c>
      <c r="C109" s="381" t="s">
        <v>476</v>
      </c>
      <c r="D109" s="382" t="s">
        <v>77</v>
      </c>
      <c r="E109" s="383">
        <v>10.6</v>
      </c>
      <c r="F109" s="150"/>
      <c r="G109" s="150"/>
      <c r="H109" s="150"/>
      <c r="I109" s="150"/>
      <c r="J109" s="150"/>
      <c r="K109" s="150"/>
      <c r="L109" s="150"/>
      <c r="M109" s="207"/>
      <c r="N109" s="207"/>
      <c r="O109" s="207"/>
      <c r="P109" s="207"/>
      <c r="Q109" s="187"/>
    </row>
    <row r="110" spans="1:17" s="1" customFormat="1">
      <c r="A110" s="370"/>
      <c r="B110" s="370"/>
      <c r="C110" s="358" t="s">
        <v>477</v>
      </c>
      <c r="D110" s="418"/>
      <c r="E110" s="439"/>
      <c r="F110" s="135"/>
      <c r="G110" s="135"/>
      <c r="H110" s="135"/>
      <c r="I110" s="135"/>
      <c r="J110" s="135"/>
      <c r="K110" s="135"/>
      <c r="L110" s="135"/>
      <c r="M110" s="136"/>
      <c r="N110" s="136"/>
      <c r="O110" s="136"/>
      <c r="P110" s="136"/>
      <c r="Q110" s="187"/>
    </row>
    <row r="111" spans="1:17" s="1" customFormat="1" ht="24">
      <c r="A111" s="385">
        <v>90</v>
      </c>
      <c r="B111" s="385" t="s">
        <v>149</v>
      </c>
      <c r="C111" s="386" t="s">
        <v>478</v>
      </c>
      <c r="D111" s="387" t="s">
        <v>80</v>
      </c>
      <c r="E111" s="433">
        <v>17</v>
      </c>
      <c r="F111" s="146"/>
      <c r="G111" s="146"/>
      <c r="H111" s="146"/>
      <c r="I111" s="146"/>
      <c r="J111" s="146"/>
      <c r="K111" s="146"/>
      <c r="L111" s="146"/>
      <c r="M111" s="205"/>
      <c r="N111" s="205"/>
      <c r="O111" s="205"/>
      <c r="P111" s="205"/>
      <c r="Q111" s="187"/>
    </row>
    <row r="112" spans="1:17" s="1" customFormat="1" ht="24">
      <c r="A112" s="348">
        <f>A111+1</f>
        <v>91</v>
      </c>
      <c r="B112" s="348" t="s">
        <v>149</v>
      </c>
      <c r="C112" s="377" t="s">
        <v>479</v>
      </c>
      <c r="D112" s="378" t="s">
        <v>77</v>
      </c>
      <c r="E112" s="354">
        <v>39.5</v>
      </c>
      <c r="F112" s="145"/>
      <c r="G112" s="145"/>
      <c r="H112" s="145"/>
      <c r="I112" s="145"/>
      <c r="J112" s="145"/>
      <c r="K112" s="145"/>
      <c r="L112" s="145"/>
      <c r="M112" s="204"/>
      <c r="N112" s="204"/>
      <c r="O112" s="204"/>
      <c r="P112" s="204"/>
      <c r="Q112" s="187"/>
    </row>
    <row r="113" spans="1:17" s="1" customFormat="1">
      <c r="A113" s="348">
        <f t="shared" ref="A113:A118" si="7">A112+1</f>
        <v>92</v>
      </c>
      <c r="B113" s="348" t="s">
        <v>149</v>
      </c>
      <c r="C113" s="377" t="s">
        <v>480</v>
      </c>
      <c r="D113" s="378" t="s">
        <v>77</v>
      </c>
      <c r="E113" s="354">
        <f>13.57</f>
        <v>13.57</v>
      </c>
      <c r="F113" s="145"/>
      <c r="G113" s="145"/>
      <c r="H113" s="145"/>
      <c r="I113" s="145"/>
      <c r="J113" s="145"/>
      <c r="K113" s="145"/>
      <c r="L113" s="145"/>
      <c r="M113" s="204"/>
      <c r="N113" s="204"/>
      <c r="O113" s="204"/>
      <c r="P113" s="204"/>
      <c r="Q113" s="187"/>
    </row>
    <row r="114" spans="1:17" s="1" customFormat="1" ht="24">
      <c r="A114" s="348">
        <f t="shared" si="7"/>
        <v>93</v>
      </c>
      <c r="B114" s="348" t="s">
        <v>149</v>
      </c>
      <c r="C114" s="377" t="s">
        <v>481</v>
      </c>
      <c r="D114" s="378" t="s">
        <v>80</v>
      </c>
      <c r="E114" s="354">
        <v>4</v>
      </c>
      <c r="F114" s="145"/>
      <c r="G114" s="145"/>
      <c r="H114" s="145"/>
      <c r="I114" s="145"/>
      <c r="J114" s="145"/>
      <c r="K114" s="145"/>
      <c r="L114" s="145"/>
      <c r="M114" s="204"/>
      <c r="N114" s="204"/>
      <c r="O114" s="204"/>
      <c r="P114" s="204"/>
      <c r="Q114" s="187"/>
    </row>
    <row r="115" spans="1:17" s="1" customFormat="1" ht="24">
      <c r="A115" s="348">
        <f t="shared" si="7"/>
        <v>94</v>
      </c>
      <c r="B115" s="348" t="s">
        <v>149</v>
      </c>
      <c r="C115" s="377" t="s">
        <v>482</v>
      </c>
      <c r="D115" s="378" t="s">
        <v>80</v>
      </c>
      <c r="E115" s="354">
        <v>12</v>
      </c>
      <c r="F115" s="145"/>
      <c r="G115" s="145"/>
      <c r="H115" s="145"/>
      <c r="I115" s="145"/>
      <c r="J115" s="145"/>
      <c r="K115" s="145"/>
      <c r="L115" s="145"/>
      <c r="M115" s="204"/>
      <c r="N115" s="204"/>
      <c r="O115" s="204"/>
      <c r="P115" s="204"/>
      <c r="Q115" s="187"/>
    </row>
    <row r="116" spans="1:17" s="1" customFormat="1" ht="24">
      <c r="A116" s="348">
        <f t="shared" si="7"/>
        <v>95</v>
      </c>
      <c r="B116" s="348" t="s">
        <v>149</v>
      </c>
      <c r="C116" s="377" t="s">
        <v>483</v>
      </c>
      <c r="D116" s="378" t="s">
        <v>80</v>
      </c>
      <c r="E116" s="354">
        <v>3</v>
      </c>
      <c r="F116" s="145"/>
      <c r="G116" s="145"/>
      <c r="H116" s="145"/>
      <c r="I116" s="145"/>
      <c r="J116" s="145"/>
      <c r="K116" s="145"/>
      <c r="L116" s="145"/>
      <c r="M116" s="204"/>
      <c r="N116" s="204"/>
      <c r="O116" s="204"/>
      <c r="P116" s="204"/>
      <c r="Q116" s="187"/>
    </row>
    <row r="117" spans="1:17" s="1" customFormat="1" ht="24">
      <c r="A117" s="348">
        <f t="shared" si="7"/>
        <v>96</v>
      </c>
      <c r="B117" s="348" t="s">
        <v>149</v>
      </c>
      <c r="C117" s="377" t="s">
        <v>484</v>
      </c>
      <c r="D117" s="378" t="s">
        <v>77</v>
      </c>
      <c r="E117" s="354">
        <v>70.599999999999994</v>
      </c>
      <c r="F117" s="145"/>
      <c r="G117" s="145"/>
      <c r="H117" s="145"/>
      <c r="I117" s="145"/>
      <c r="J117" s="145"/>
      <c r="K117" s="145"/>
      <c r="L117" s="145"/>
      <c r="M117" s="204"/>
      <c r="N117" s="204"/>
      <c r="O117" s="204"/>
      <c r="P117" s="204"/>
      <c r="Q117" s="187"/>
    </row>
    <row r="118" spans="1:17" s="1" customFormat="1">
      <c r="A118" s="380">
        <f t="shared" si="7"/>
        <v>97</v>
      </c>
      <c r="B118" s="380" t="s">
        <v>149</v>
      </c>
      <c r="C118" s="381" t="s">
        <v>485</v>
      </c>
      <c r="D118" s="382" t="s">
        <v>77</v>
      </c>
      <c r="E118" s="441">
        <v>14.43</v>
      </c>
      <c r="F118" s="150"/>
      <c r="G118" s="150"/>
      <c r="H118" s="150"/>
      <c r="I118" s="150"/>
      <c r="J118" s="150"/>
      <c r="K118" s="150"/>
      <c r="L118" s="150"/>
      <c r="M118" s="207"/>
      <c r="N118" s="207"/>
      <c r="O118" s="207"/>
      <c r="P118" s="207"/>
      <c r="Q118" s="187"/>
    </row>
    <row r="119" spans="1:17" s="1" customFormat="1">
      <c r="A119" s="370"/>
      <c r="B119" s="370"/>
      <c r="C119" s="358" t="s">
        <v>486</v>
      </c>
      <c r="D119" s="418"/>
      <c r="E119" s="439"/>
      <c r="F119" s="135"/>
      <c r="G119" s="135"/>
      <c r="H119" s="135"/>
      <c r="I119" s="135"/>
      <c r="J119" s="135"/>
      <c r="K119" s="135"/>
      <c r="L119" s="135"/>
      <c r="M119" s="136"/>
      <c r="N119" s="136"/>
      <c r="O119" s="136"/>
      <c r="P119" s="136"/>
      <c r="Q119" s="187"/>
    </row>
    <row r="120" spans="1:17" s="1" customFormat="1" ht="24">
      <c r="A120" s="373">
        <f>A118+1</f>
        <v>98</v>
      </c>
      <c r="B120" s="373" t="s">
        <v>149</v>
      </c>
      <c r="C120" s="374" t="s">
        <v>479</v>
      </c>
      <c r="D120" s="375" t="s">
        <v>77</v>
      </c>
      <c r="E120" s="440">
        <f>6.5</f>
        <v>6.5</v>
      </c>
      <c r="F120" s="153"/>
      <c r="G120" s="153"/>
      <c r="H120" s="153"/>
      <c r="I120" s="153"/>
      <c r="J120" s="153"/>
      <c r="K120" s="153"/>
      <c r="L120" s="153"/>
      <c r="M120" s="208"/>
      <c r="N120" s="208"/>
      <c r="O120" s="208"/>
      <c r="P120" s="208"/>
      <c r="Q120" s="187"/>
    </row>
    <row r="121" spans="1:17" s="1" customFormat="1">
      <c r="A121" s="370"/>
      <c r="B121" s="370"/>
      <c r="C121" s="358" t="s">
        <v>487</v>
      </c>
      <c r="D121" s="418"/>
      <c r="E121" s="439"/>
      <c r="F121" s="135"/>
      <c r="G121" s="135"/>
      <c r="H121" s="135"/>
      <c r="I121" s="135"/>
      <c r="J121" s="135"/>
      <c r="K121" s="135"/>
      <c r="L121" s="135"/>
      <c r="M121" s="136"/>
      <c r="N121" s="136"/>
      <c r="O121" s="136"/>
      <c r="P121" s="136"/>
      <c r="Q121" s="187"/>
    </row>
    <row r="122" spans="1:17" s="1" customFormat="1" ht="24">
      <c r="A122" s="385">
        <f>A120+1</f>
        <v>99</v>
      </c>
      <c r="B122" s="385" t="s">
        <v>149</v>
      </c>
      <c r="C122" s="386" t="s">
        <v>488</v>
      </c>
      <c r="D122" s="387" t="s">
        <v>80</v>
      </c>
      <c r="E122" s="433">
        <v>17</v>
      </c>
      <c r="F122" s="146"/>
      <c r="G122" s="146"/>
      <c r="H122" s="146"/>
      <c r="I122" s="146"/>
      <c r="J122" s="146"/>
      <c r="K122" s="146"/>
      <c r="L122" s="146"/>
      <c r="M122" s="205"/>
      <c r="N122" s="205"/>
      <c r="O122" s="205"/>
      <c r="P122" s="205"/>
      <c r="Q122" s="187"/>
    </row>
    <row r="123" spans="1:17" s="1" customFormat="1" ht="24">
      <c r="A123" s="348">
        <f t="shared" ref="A123:A128" si="8">A122+1</f>
        <v>100</v>
      </c>
      <c r="B123" s="348" t="s">
        <v>149</v>
      </c>
      <c r="C123" s="377" t="s">
        <v>479</v>
      </c>
      <c r="D123" s="378" t="s">
        <v>77</v>
      </c>
      <c r="E123" s="354">
        <v>41</v>
      </c>
      <c r="F123" s="145"/>
      <c r="G123" s="145"/>
      <c r="H123" s="145"/>
      <c r="I123" s="145"/>
      <c r="J123" s="145"/>
      <c r="K123" s="145"/>
      <c r="L123" s="145"/>
      <c r="M123" s="204"/>
      <c r="N123" s="204"/>
      <c r="O123" s="204"/>
      <c r="P123" s="204"/>
      <c r="Q123" s="187"/>
    </row>
    <row r="124" spans="1:17" s="1" customFormat="1">
      <c r="A124" s="348">
        <f t="shared" si="8"/>
        <v>101</v>
      </c>
      <c r="B124" s="348" t="s">
        <v>149</v>
      </c>
      <c r="C124" s="377" t="s">
        <v>480</v>
      </c>
      <c r="D124" s="378" t="s">
        <v>77</v>
      </c>
      <c r="E124" s="354">
        <f>13.84</f>
        <v>13.84</v>
      </c>
      <c r="F124" s="145"/>
      <c r="G124" s="145"/>
      <c r="H124" s="145"/>
      <c r="I124" s="145"/>
      <c r="J124" s="145"/>
      <c r="K124" s="145"/>
      <c r="L124" s="145"/>
      <c r="M124" s="204"/>
      <c r="N124" s="204"/>
      <c r="O124" s="204"/>
      <c r="P124" s="204"/>
      <c r="Q124" s="187"/>
    </row>
    <row r="125" spans="1:17" s="1" customFormat="1" ht="24">
      <c r="A125" s="348">
        <f t="shared" si="8"/>
        <v>102</v>
      </c>
      <c r="B125" s="348" t="s">
        <v>149</v>
      </c>
      <c r="C125" s="377" t="s">
        <v>481</v>
      </c>
      <c r="D125" s="378" t="s">
        <v>80</v>
      </c>
      <c r="E125" s="354">
        <v>2</v>
      </c>
      <c r="F125" s="145"/>
      <c r="G125" s="145"/>
      <c r="H125" s="145"/>
      <c r="I125" s="145"/>
      <c r="J125" s="145"/>
      <c r="K125" s="145"/>
      <c r="L125" s="145"/>
      <c r="M125" s="204"/>
      <c r="N125" s="204"/>
      <c r="O125" s="204"/>
      <c r="P125" s="204"/>
      <c r="Q125" s="187"/>
    </row>
    <row r="126" spans="1:17" s="1" customFormat="1" ht="24">
      <c r="A126" s="348">
        <f t="shared" si="8"/>
        <v>103</v>
      </c>
      <c r="B126" s="348" t="s">
        <v>149</v>
      </c>
      <c r="C126" s="377" t="s">
        <v>489</v>
      </c>
      <c r="D126" s="378" t="s">
        <v>80</v>
      </c>
      <c r="E126" s="354">
        <v>8</v>
      </c>
      <c r="F126" s="145"/>
      <c r="G126" s="145"/>
      <c r="H126" s="145"/>
      <c r="I126" s="145"/>
      <c r="J126" s="145"/>
      <c r="K126" s="145"/>
      <c r="L126" s="145"/>
      <c r="M126" s="204"/>
      <c r="N126" s="204"/>
      <c r="O126" s="204"/>
      <c r="P126" s="204"/>
      <c r="Q126" s="187"/>
    </row>
    <row r="127" spans="1:17" s="1" customFormat="1" ht="24">
      <c r="A127" s="348">
        <f t="shared" si="8"/>
        <v>104</v>
      </c>
      <c r="B127" s="348" t="s">
        <v>149</v>
      </c>
      <c r="C127" s="377" t="s">
        <v>484</v>
      </c>
      <c r="D127" s="378" t="s">
        <v>77</v>
      </c>
      <c r="E127" s="354">
        <f>36.15</f>
        <v>36.15</v>
      </c>
      <c r="F127" s="145"/>
      <c r="G127" s="145"/>
      <c r="H127" s="145"/>
      <c r="I127" s="145"/>
      <c r="J127" s="145"/>
      <c r="K127" s="145"/>
      <c r="L127" s="145"/>
      <c r="M127" s="204"/>
      <c r="N127" s="204"/>
      <c r="O127" s="204"/>
      <c r="P127" s="204"/>
      <c r="Q127" s="187"/>
    </row>
    <row r="128" spans="1:17" s="1" customFormat="1">
      <c r="A128" s="366">
        <f t="shared" si="8"/>
        <v>105</v>
      </c>
      <c r="B128" s="366" t="s">
        <v>149</v>
      </c>
      <c r="C128" s="436" t="s">
        <v>485</v>
      </c>
      <c r="D128" s="495" t="s">
        <v>77</v>
      </c>
      <c r="E128" s="438">
        <f>8.4</f>
        <v>8.4</v>
      </c>
      <c r="F128" s="146"/>
      <c r="G128" s="146"/>
      <c r="H128" s="146"/>
      <c r="I128" s="146"/>
      <c r="J128" s="146"/>
      <c r="K128" s="146"/>
      <c r="L128" s="146"/>
      <c r="M128" s="205"/>
      <c r="N128" s="205"/>
      <c r="O128" s="205"/>
      <c r="P128" s="205"/>
      <c r="Q128" s="187"/>
    </row>
    <row r="129" spans="1:17">
      <c r="A129" s="890" t="s">
        <v>177</v>
      </c>
      <c r="B129" s="890"/>
      <c r="C129" s="890"/>
      <c r="D129" s="890"/>
      <c r="E129" s="890"/>
      <c r="F129" s="890"/>
      <c r="G129" s="890"/>
      <c r="H129" s="890"/>
      <c r="I129" s="890"/>
      <c r="J129" s="890"/>
      <c r="K129" s="890"/>
      <c r="L129" s="131"/>
      <c r="M129" s="131"/>
      <c r="N129" s="131"/>
      <c r="O129" s="131"/>
      <c r="P129" s="131"/>
    </row>
    <row r="130" spans="1:17" s="1" customFormat="1" ht="12.75" customHeight="1">
      <c r="A130" s="908" t="s">
        <v>36</v>
      </c>
      <c r="B130" s="908"/>
      <c r="C130" s="7"/>
      <c r="D130" s="7"/>
      <c r="E130" s="142"/>
      <c r="F130" s="7"/>
      <c r="G130" s="7"/>
      <c r="H130" s="7"/>
      <c r="I130" s="7"/>
      <c r="J130" s="7"/>
      <c r="K130" s="7"/>
      <c r="L130" s="7"/>
      <c r="M130" s="7"/>
      <c r="N130" s="7"/>
      <c r="O130" s="7"/>
      <c r="P130" s="7"/>
      <c r="Q130" s="187"/>
    </row>
    <row r="131" spans="1:17" s="50" customFormat="1" ht="15" customHeight="1">
      <c r="A131" s="907" t="s">
        <v>56</v>
      </c>
      <c r="B131" s="907"/>
      <c r="C131" s="907"/>
      <c r="D131" s="907"/>
      <c r="E131" s="907"/>
      <c r="F131" s="907"/>
      <c r="G131" s="907"/>
      <c r="H131" s="907"/>
      <c r="I131" s="907"/>
      <c r="J131" s="907"/>
      <c r="K131" s="907"/>
      <c r="L131" s="907"/>
      <c r="M131" s="907"/>
      <c r="N131" s="907"/>
      <c r="O131" s="907"/>
      <c r="P131" s="907"/>
      <c r="Q131" s="190"/>
    </row>
    <row r="132" spans="1:17" s="50" customFormat="1">
      <c r="A132" s="906"/>
      <c r="B132" s="906"/>
      <c r="C132" s="84"/>
      <c r="D132" s="84"/>
      <c r="E132" s="106"/>
      <c r="F132" s="84"/>
      <c r="G132" s="84"/>
      <c r="H132" s="84"/>
      <c r="I132" s="84"/>
      <c r="J132" s="84"/>
      <c r="K132" s="84"/>
      <c r="L132" s="84"/>
      <c r="M132" s="84"/>
      <c r="N132" s="84"/>
      <c r="O132" s="84"/>
      <c r="P132" s="84"/>
      <c r="Q132" s="190"/>
    </row>
    <row r="133" spans="1:17" s="50" customFormat="1">
      <c r="A133" s="906" t="s">
        <v>7</v>
      </c>
      <c r="B133" s="906"/>
      <c r="C133" s="314"/>
      <c r="D133" s="84"/>
      <c r="E133" s="106"/>
      <c r="F133" s="84"/>
      <c r="G133" s="84"/>
      <c r="H133" s="84"/>
      <c r="I133" s="84"/>
      <c r="J133" s="84"/>
      <c r="K133" s="84"/>
      <c r="L133" s="314"/>
      <c r="M133" s="905"/>
      <c r="N133" s="905"/>
      <c r="O133" s="84"/>
      <c r="P133" s="84"/>
      <c r="Q133" s="190"/>
    </row>
    <row r="134" spans="1:17" s="50" customFormat="1" collapsed="1">
      <c r="A134" s="316"/>
      <c r="B134" s="86"/>
      <c r="E134" s="103"/>
      <c r="F134" s="87"/>
      <c r="G134" s="87"/>
      <c r="Q134" s="190"/>
    </row>
  </sheetData>
  <mergeCells count="25">
    <mergeCell ref="A129:K129"/>
    <mergeCell ref="A132:B132"/>
    <mergeCell ref="A133:B133"/>
    <mergeCell ref="M133:N133"/>
    <mergeCell ref="A131:P131"/>
    <mergeCell ref="A130:B130"/>
    <mergeCell ref="L10:P10"/>
    <mergeCell ref="A10:A11"/>
    <mergeCell ref="B10:B11"/>
    <mergeCell ref="C10:C11"/>
    <mergeCell ref="D10:D11"/>
    <mergeCell ref="E10:E11"/>
    <mergeCell ref="F10:K10"/>
    <mergeCell ref="A5:B5"/>
    <mergeCell ref="C5:P5"/>
    <mergeCell ref="A6:B6"/>
    <mergeCell ref="C6:P6"/>
    <mergeCell ref="A7:B7"/>
    <mergeCell ref="C7:P7"/>
    <mergeCell ref="A1:P1"/>
    <mergeCell ref="A2:P2"/>
    <mergeCell ref="A3:B3"/>
    <mergeCell ref="C3:P3"/>
    <mergeCell ref="A4:B4"/>
    <mergeCell ref="C4:P4"/>
  </mergeCells>
  <conditionalFormatting sqref="C98">
    <cfRule type="expression" priority="1" stopIfTrue="1">
      <formula>#REF!</formula>
    </cfRule>
  </conditionalFormatting>
  <conditionalFormatting sqref="C41:C42 C48 C51">
    <cfRule type="expression" priority="172" stopIfTrue="1">
      <formula>#REF!</formula>
    </cfRule>
  </conditionalFormatting>
  <conditionalFormatting sqref="C41:C42 C48 C51">
    <cfRule type="expression" priority="171" stopIfTrue="1">
      <formula>#REF!</formula>
    </cfRule>
  </conditionalFormatting>
  <conditionalFormatting sqref="C56">
    <cfRule type="expression" priority="170" stopIfTrue="1">
      <formula>#REF!</formula>
    </cfRule>
  </conditionalFormatting>
  <conditionalFormatting sqref="C56">
    <cfRule type="expression" priority="169" stopIfTrue="1">
      <formula>#REF!</formula>
    </cfRule>
  </conditionalFormatting>
  <conditionalFormatting sqref="C55">
    <cfRule type="expression" priority="168" stopIfTrue="1">
      <formula>#REF!</formula>
    </cfRule>
  </conditionalFormatting>
  <conditionalFormatting sqref="C55">
    <cfRule type="expression" priority="167" stopIfTrue="1">
      <formula>#REF!</formula>
    </cfRule>
  </conditionalFormatting>
  <conditionalFormatting sqref="C111">
    <cfRule type="expression" priority="166" stopIfTrue="1">
      <formula>#REF!</formula>
    </cfRule>
  </conditionalFormatting>
  <conditionalFormatting sqref="C111">
    <cfRule type="expression" priority="165" stopIfTrue="1">
      <formula>#REF!</formula>
    </cfRule>
  </conditionalFormatting>
  <conditionalFormatting sqref="C110">
    <cfRule type="expression" priority="164" stopIfTrue="1">
      <formula>#REF!</formula>
    </cfRule>
  </conditionalFormatting>
  <conditionalFormatting sqref="C110">
    <cfRule type="expression" priority="163" stopIfTrue="1">
      <formula>#REF!</formula>
    </cfRule>
  </conditionalFormatting>
  <conditionalFormatting sqref="C112">
    <cfRule type="expression" priority="162" stopIfTrue="1">
      <formula>#REF!</formula>
    </cfRule>
  </conditionalFormatting>
  <conditionalFormatting sqref="C112">
    <cfRule type="expression" priority="161" stopIfTrue="1">
      <formula>#REF!</formula>
    </cfRule>
  </conditionalFormatting>
  <conditionalFormatting sqref="C53">
    <cfRule type="expression" priority="160" stopIfTrue="1">
      <formula>#REF!</formula>
    </cfRule>
  </conditionalFormatting>
  <conditionalFormatting sqref="C53">
    <cfRule type="expression" priority="159" stopIfTrue="1">
      <formula>#REF!</formula>
    </cfRule>
  </conditionalFormatting>
  <conditionalFormatting sqref="C58">
    <cfRule type="expression" priority="158" stopIfTrue="1">
      <formula>#REF!</formula>
    </cfRule>
  </conditionalFormatting>
  <conditionalFormatting sqref="C58">
    <cfRule type="expression" priority="157" stopIfTrue="1">
      <formula>#REF!</formula>
    </cfRule>
  </conditionalFormatting>
  <conditionalFormatting sqref="C113">
    <cfRule type="expression" priority="156" stopIfTrue="1">
      <formula>#REF!</formula>
    </cfRule>
  </conditionalFormatting>
  <conditionalFormatting sqref="C113">
    <cfRule type="expression" priority="155" stopIfTrue="1">
      <formula>#REF!</formula>
    </cfRule>
  </conditionalFormatting>
  <conditionalFormatting sqref="C114">
    <cfRule type="expression" priority="154" stopIfTrue="1">
      <formula>#REF!</formula>
    </cfRule>
  </conditionalFormatting>
  <conditionalFormatting sqref="C114">
    <cfRule type="expression" priority="153" stopIfTrue="1">
      <formula>#REF!</formula>
    </cfRule>
  </conditionalFormatting>
  <conditionalFormatting sqref="C115">
    <cfRule type="expression" priority="152" stopIfTrue="1">
      <formula>#REF!</formula>
    </cfRule>
  </conditionalFormatting>
  <conditionalFormatting sqref="C115">
    <cfRule type="expression" priority="151" stopIfTrue="1">
      <formula>#REF!</formula>
    </cfRule>
  </conditionalFormatting>
  <conditionalFormatting sqref="C116">
    <cfRule type="expression" priority="150" stopIfTrue="1">
      <formula>#REF!</formula>
    </cfRule>
  </conditionalFormatting>
  <conditionalFormatting sqref="C116">
    <cfRule type="expression" priority="149" stopIfTrue="1">
      <formula>#REF!</formula>
    </cfRule>
  </conditionalFormatting>
  <conditionalFormatting sqref="C118">
    <cfRule type="expression" priority="146" stopIfTrue="1">
      <formula>#REF!</formula>
    </cfRule>
  </conditionalFormatting>
  <conditionalFormatting sqref="C118">
    <cfRule type="expression" priority="145" stopIfTrue="1">
      <formula>#REF!</formula>
    </cfRule>
  </conditionalFormatting>
  <conditionalFormatting sqref="C117">
    <cfRule type="expression" priority="148" stopIfTrue="1">
      <formula>#REF!</formula>
    </cfRule>
  </conditionalFormatting>
  <conditionalFormatting sqref="C117">
    <cfRule type="expression" priority="147" stopIfTrue="1">
      <formula>#REF!</formula>
    </cfRule>
  </conditionalFormatting>
  <conditionalFormatting sqref="C43">
    <cfRule type="expression" priority="144" stopIfTrue="1">
      <formula>#REF!</formula>
    </cfRule>
  </conditionalFormatting>
  <conditionalFormatting sqref="C43">
    <cfRule type="expression" priority="143" stopIfTrue="1">
      <formula>#REF!</formula>
    </cfRule>
  </conditionalFormatting>
  <conditionalFormatting sqref="C44">
    <cfRule type="expression" priority="142" stopIfTrue="1">
      <formula>#REF!</formula>
    </cfRule>
  </conditionalFormatting>
  <conditionalFormatting sqref="C44">
    <cfRule type="expression" priority="141" stopIfTrue="1">
      <formula>#REF!</formula>
    </cfRule>
  </conditionalFormatting>
  <conditionalFormatting sqref="C45">
    <cfRule type="expression" priority="140" stopIfTrue="1">
      <formula>#REF!</formula>
    </cfRule>
  </conditionalFormatting>
  <conditionalFormatting sqref="C45">
    <cfRule type="expression" priority="139" stopIfTrue="1">
      <formula>#REF!</formula>
    </cfRule>
  </conditionalFormatting>
  <conditionalFormatting sqref="C49">
    <cfRule type="expression" priority="134" stopIfTrue="1">
      <formula>#REF!</formula>
    </cfRule>
  </conditionalFormatting>
  <conditionalFormatting sqref="C49">
    <cfRule type="expression" priority="133" stopIfTrue="1">
      <formula>#REF!</formula>
    </cfRule>
  </conditionalFormatting>
  <conditionalFormatting sqref="C50">
    <cfRule type="expression" priority="132" stopIfTrue="1">
      <formula>#REF!</formula>
    </cfRule>
  </conditionalFormatting>
  <conditionalFormatting sqref="C50">
    <cfRule type="expression" priority="131" stopIfTrue="1">
      <formula>#REF!</formula>
    </cfRule>
  </conditionalFormatting>
  <conditionalFormatting sqref="C46">
    <cfRule type="expression" priority="138" stopIfTrue="1">
      <formula>#REF!</formula>
    </cfRule>
  </conditionalFormatting>
  <conditionalFormatting sqref="C46">
    <cfRule type="expression" priority="137" stopIfTrue="1">
      <formula>#REF!</formula>
    </cfRule>
  </conditionalFormatting>
  <conditionalFormatting sqref="C47">
    <cfRule type="expression" priority="136" stopIfTrue="1">
      <formula>#REF!</formula>
    </cfRule>
  </conditionalFormatting>
  <conditionalFormatting sqref="C47">
    <cfRule type="expression" priority="135" stopIfTrue="1">
      <formula>#REF!</formula>
    </cfRule>
  </conditionalFormatting>
  <conditionalFormatting sqref="C52">
    <cfRule type="expression" priority="130" stopIfTrue="1">
      <formula>#REF!</formula>
    </cfRule>
  </conditionalFormatting>
  <conditionalFormatting sqref="C52">
    <cfRule type="expression" priority="129" stopIfTrue="1">
      <formula>#REF!</formula>
    </cfRule>
  </conditionalFormatting>
  <conditionalFormatting sqref="C54">
    <cfRule type="expression" priority="128" stopIfTrue="1">
      <formula>#REF!</formula>
    </cfRule>
  </conditionalFormatting>
  <conditionalFormatting sqref="C54">
    <cfRule type="expression" priority="127" stopIfTrue="1">
      <formula>#REF!</formula>
    </cfRule>
  </conditionalFormatting>
  <conditionalFormatting sqref="C57">
    <cfRule type="expression" priority="126" stopIfTrue="1">
      <formula>#REF!</formula>
    </cfRule>
  </conditionalFormatting>
  <conditionalFormatting sqref="C57">
    <cfRule type="expression" priority="125" stopIfTrue="1">
      <formula>#REF!</formula>
    </cfRule>
  </conditionalFormatting>
  <conditionalFormatting sqref="C59">
    <cfRule type="expression" priority="124" stopIfTrue="1">
      <formula>#REF!</formula>
    </cfRule>
  </conditionalFormatting>
  <conditionalFormatting sqref="C59">
    <cfRule type="expression" priority="123" stopIfTrue="1">
      <formula>#REF!</formula>
    </cfRule>
  </conditionalFormatting>
  <conditionalFormatting sqref="C13:C14">
    <cfRule type="expression" priority="122" stopIfTrue="1">
      <formula>#REF!</formula>
    </cfRule>
  </conditionalFormatting>
  <conditionalFormatting sqref="C13:C14">
    <cfRule type="expression" priority="121" stopIfTrue="1">
      <formula>#REF!</formula>
    </cfRule>
  </conditionalFormatting>
  <conditionalFormatting sqref="C15">
    <cfRule type="expression" priority="120" stopIfTrue="1">
      <formula>#REF!</formula>
    </cfRule>
  </conditionalFormatting>
  <conditionalFormatting sqref="C15">
    <cfRule type="expression" priority="119" stopIfTrue="1">
      <formula>#REF!</formula>
    </cfRule>
  </conditionalFormatting>
  <conditionalFormatting sqref="C16">
    <cfRule type="expression" priority="118" stopIfTrue="1">
      <formula>#REF!</formula>
    </cfRule>
  </conditionalFormatting>
  <conditionalFormatting sqref="C16">
    <cfRule type="expression" priority="117" stopIfTrue="1">
      <formula>#REF!</formula>
    </cfRule>
  </conditionalFormatting>
  <conditionalFormatting sqref="C17">
    <cfRule type="expression" priority="116" stopIfTrue="1">
      <formula>#REF!</formula>
    </cfRule>
  </conditionalFormatting>
  <conditionalFormatting sqref="C17">
    <cfRule type="expression" priority="115" stopIfTrue="1">
      <formula>#REF!</formula>
    </cfRule>
  </conditionalFormatting>
  <conditionalFormatting sqref="C18">
    <cfRule type="expression" priority="114" stopIfTrue="1">
      <formula>#REF!</formula>
    </cfRule>
  </conditionalFormatting>
  <conditionalFormatting sqref="C18">
    <cfRule type="expression" priority="113" stopIfTrue="1">
      <formula>#REF!</formula>
    </cfRule>
  </conditionalFormatting>
  <conditionalFormatting sqref="C21">
    <cfRule type="expression" priority="112" stopIfTrue="1">
      <formula>#REF!</formula>
    </cfRule>
  </conditionalFormatting>
  <conditionalFormatting sqref="C21">
    <cfRule type="expression" priority="111" stopIfTrue="1">
      <formula>#REF!</formula>
    </cfRule>
  </conditionalFormatting>
  <conditionalFormatting sqref="C19">
    <cfRule type="expression" priority="110" stopIfTrue="1">
      <formula>#REF!</formula>
    </cfRule>
  </conditionalFormatting>
  <conditionalFormatting sqref="C19">
    <cfRule type="expression" priority="109" stopIfTrue="1">
      <formula>#REF!</formula>
    </cfRule>
  </conditionalFormatting>
  <conditionalFormatting sqref="C20">
    <cfRule type="expression" priority="108" stopIfTrue="1">
      <formula>#REF!</formula>
    </cfRule>
  </conditionalFormatting>
  <conditionalFormatting sqref="C20">
    <cfRule type="expression" priority="107" stopIfTrue="1">
      <formula>#REF!</formula>
    </cfRule>
  </conditionalFormatting>
  <conditionalFormatting sqref="C22">
    <cfRule type="expression" priority="106" stopIfTrue="1">
      <formula>#REF!</formula>
    </cfRule>
  </conditionalFormatting>
  <conditionalFormatting sqref="C22">
    <cfRule type="expression" priority="105" stopIfTrue="1">
      <formula>#REF!</formula>
    </cfRule>
  </conditionalFormatting>
  <conditionalFormatting sqref="C26">
    <cfRule type="expression" priority="104" stopIfTrue="1">
      <formula>#REF!</formula>
    </cfRule>
  </conditionalFormatting>
  <conditionalFormatting sqref="C26">
    <cfRule type="expression" priority="103" stopIfTrue="1">
      <formula>#REF!</formula>
    </cfRule>
  </conditionalFormatting>
  <conditionalFormatting sqref="C25">
    <cfRule type="expression" priority="102" stopIfTrue="1">
      <formula>#REF!</formula>
    </cfRule>
  </conditionalFormatting>
  <conditionalFormatting sqref="C25">
    <cfRule type="expression" priority="101" stopIfTrue="1">
      <formula>#REF!</formula>
    </cfRule>
  </conditionalFormatting>
  <conditionalFormatting sqref="C23">
    <cfRule type="expression" priority="100" stopIfTrue="1">
      <formula>#REF!</formula>
    </cfRule>
  </conditionalFormatting>
  <conditionalFormatting sqref="C23">
    <cfRule type="expression" priority="99" stopIfTrue="1">
      <formula>#REF!</formula>
    </cfRule>
  </conditionalFormatting>
  <conditionalFormatting sqref="C28">
    <cfRule type="expression" priority="98" stopIfTrue="1">
      <formula>#REF!</formula>
    </cfRule>
  </conditionalFormatting>
  <conditionalFormatting sqref="C28">
    <cfRule type="expression" priority="97" stopIfTrue="1">
      <formula>#REF!</formula>
    </cfRule>
  </conditionalFormatting>
  <conditionalFormatting sqref="C24">
    <cfRule type="expression" priority="96" stopIfTrue="1">
      <formula>#REF!</formula>
    </cfRule>
  </conditionalFormatting>
  <conditionalFormatting sqref="C24">
    <cfRule type="expression" priority="95" stopIfTrue="1">
      <formula>#REF!</formula>
    </cfRule>
  </conditionalFormatting>
  <conditionalFormatting sqref="C27">
    <cfRule type="expression" priority="94" stopIfTrue="1">
      <formula>#REF!</formula>
    </cfRule>
  </conditionalFormatting>
  <conditionalFormatting sqref="C27">
    <cfRule type="expression" priority="93" stopIfTrue="1">
      <formula>#REF!</formula>
    </cfRule>
  </conditionalFormatting>
  <conditionalFormatting sqref="C29">
    <cfRule type="expression" priority="92" stopIfTrue="1">
      <formula>#REF!</formula>
    </cfRule>
  </conditionalFormatting>
  <conditionalFormatting sqref="C29">
    <cfRule type="expression" priority="91" stopIfTrue="1">
      <formula>#REF!</formula>
    </cfRule>
  </conditionalFormatting>
  <conditionalFormatting sqref="C30:C31">
    <cfRule type="expression" priority="90" stopIfTrue="1">
      <formula>#REF!</formula>
    </cfRule>
  </conditionalFormatting>
  <conditionalFormatting sqref="C30:C31">
    <cfRule type="expression" priority="89" stopIfTrue="1">
      <formula>#REF!</formula>
    </cfRule>
  </conditionalFormatting>
  <conditionalFormatting sqref="C122">
    <cfRule type="expression" priority="86" stopIfTrue="1">
      <formula>#REF!</formula>
    </cfRule>
  </conditionalFormatting>
  <conditionalFormatting sqref="C122">
    <cfRule type="expression" priority="85" stopIfTrue="1">
      <formula>#REF!</formula>
    </cfRule>
  </conditionalFormatting>
  <conditionalFormatting sqref="C121">
    <cfRule type="expression" priority="84" stopIfTrue="1">
      <formula>#REF!</formula>
    </cfRule>
  </conditionalFormatting>
  <conditionalFormatting sqref="C121">
    <cfRule type="expression" priority="83" stopIfTrue="1">
      <formula>#REF!</formula>
    </cfRule>
  </conditionalFormatting>
  <conditionalFormatting sqref="C123">
    <cfRule type="expression" priority="82" stopIfTrue="1">
      <formula>#REF!</formula>
    </cfRule>
  </conditionalFormatting>
  <conditionalFormatting sqref="C123">
    <cfRule type="expression" priority="81" stopIfTrue="1">
      <formula>#REF!</formula>
    </cfRule>
  </conditionalFormatting>
  <conditionalFormatting sqref="C124">
    <cfRule type="expression" priority="80" stopIfTrue="1">
      <formula>#REF!</formula>
    </cfRule>
  </conditionalFormatting>
  <conditionalFormatting sqref="C124">
    <cfRule type="expression" priority="79" stopIfTrue="1">
      <formula>#REF!</formula>
    </cfRule>
  </conditionalFormatting>
  <conditionalFormatting sqref="C125">
    <cfRule type="expression" priority="78" stopIfTrue="1">
      <formula>#REF!</formula>
    </cfRule>
  </conditionalFormatting>
  <conditionalFormatting sqref="C125">
    <cfRule type="expression" priority="77" stopIfTrue="1">
      <formula>#REF!</formula>
    </cfRule>
  </conditionalFormatting>
  <conditionalFormatting sqref="C126">
    <cfRule type="expression" priority="76" stopIfTrue="1">
      <formula>#REF!</formula>
    </cfRule>
  </conditionalFormatting>
  <conditionalFormatting sqref="C126">
    <cfRule type="expression" priority="75" stopIfTrue="1">
      <formula>#REF!</formula>
    </cfRule>
  </conditionalFormatting>
  <conditionalFormatting sqref="C128">
    <cfRule type="expression" priority="72" stopIfTrue="1">
      <formula>#REF!</formula>
    </cfRule>
  </conditionalFormatting>
  <conditionalFormatting sqref="C128">
    <cfRule type="expression" priority="71" stopIfTrue="1">
      <formula>#REF!</formula>
    </cfRule>
  </conditionalFormatting>
  <conditionalFormatting sqref="C127">
    <cfRule type="expression" priority="74" stopIfTrue="1">
      <formula>#REF!</formula>
    </cfRule>
  </conditionalFormatting>
  <conditionalFormatting sqref="C127">
    <cfRule type="expression" priority="73" stopIfTrue="1">
      <formula>#REF!</formula>
    </cfRule>
  </conditionalFormatting>
  <conditionalFormatting sqref="C32">
    <cfRule type="expression" priority="70" stopIfTrue="1">
      <formula>#REF!</formula>
    </cfRule>
  </conditionalFormatting>
  <conditionalFormatting sqref="C32">
    <cfRule type="expression" priority="69" stopIfTrue="1">
      <formula>#REF!</formula>
    </cfRule>
  </conditionalFormatting>
  <conditionalFormatting sqref="C33">
    <cfRule type="expression" priority="68" stopIfTrue="1">
      <formula>#REF!</formula>
    </cfRule>
  </conditionalFormatting>
  <conditionalFormatting sqref="C33">
    <cfRule type="expression" priority="67" stopIfTrue="1">
      <formula>#REF!</formula>
    </cfRule>
  </conditionalFormatting>
  <conditionalFormatting sqref="C34">
    <cfRule type="expression" priority="66" stopIfTrue="1">
      <formula>#REF!</formula>
    </cfRule>
  </conditionalFormatting>
  <conditionalFormatting sqref="C34">
    <cfRule type="expression" priority="65" stopIfTrue="1">
      <formula>#REF!</formula>
    </cfRule>
  </conditionalFormatting>
  <conditionalFormatting sqref="C35">
    <cfRule type="expression" priority="64" stopIfTrue="1">
      <formula>#REF!</formula>
    </cfRule>
  </conditionalFormatting>
  <conditionalFormatting sqref="C35">
    <cfRule type="expression" priority="63" stopIfTrue="1">
      <formula>#REF!</formula>
    </cfRule>
  </conditionalFormatting>
  <conditionalFormatting sqref="C36">
    <cfRule type="expression" priority="62" stopIfTrue="1">
      <formula>#REF!</formula>
    </cfRule>
  </conditionalFormatting>
  <conditionalFormatting sqref="C36">
    <cfRule type="expression" priority="61" stopIfTrue="1">
      <formula>#REF!</formula>
    </cfRule>
  </conditionalFormatting>
  <conditionalFormatting sqref="C37">
    <cfRule type="expression" priority="60" stopIfTrue="1">
      <formula>#REF!</formula>
    </cfRule>
  </conditionalFormatting>
  <conditionalFormatting sqref="C37">
    <cfRule type="expression" priority="59" stopIfTrue="1">
      <formula>#REF!</formula>
    </cfRule>
  </conditionalFormatting>
  <conditionalFormatting sqref="C38">
    <cfRule type="expression" priority="58" stopIfTrue="1">
      <formula>#REF!</formula>
    </cfRule>
  </conditionalFormatting>
  <conditionalFormatting sqref="C38">
    <cfRule type="expression" priority="57" stopIfTrue="1">
      <formula>#REF!</formula>
    </cfRule>
  </conditionalFormatting>
  <conditionalFormatting sqref="C39">
    <cfRule type="expression" priority="56" stopIfTrue="1">
      <formula>#REF!</formula>
    </cfRule>
  </conditionalFormatting>
  <conditionalFormatting sqref="C39">
    <cfRule type="expression" priority="55" stopIfTrue="1">
      <formula>#REF!</formula>
    </cfRule>
  </conditionalFormatting>
  <conditionalFormatting sqref="C119">
    <cfRule type="expression" priority="50" stopIfTrue="1">
      <formula>#REF!</formula>
    </cfRule>
  </conditionalFormatting>
  <conditionalFormatting sqref="C119">
    <cfRule type="expression" priority="49" stopIfTrue="1">
      <formula>#REF!</formula>
    </cfRule>
  </conditionalFormatting>
  <conditionalFormatting sqref="C40">
    <cfRule type="expression" priority="54" stopIfTrue="1">
      <formula>#REF!</formula>
    </cfRule>
  </conditionalFormatting>
  <conditionalFormatting sqref="C40">
    <cfRule type="expression" priority="53" stopIfTrue="1">
      <formula>#REF!</formula>
    </cfRule>
  </conditionalFormatting>
  <conditionalFormatting sqref="C60:C61">
    <cfRule type="expression" priority="46" stopIfTrue="1">
      <formula>#REF!</formula>
    </cfRule>
  </conditionalFormatting>
  <conditionalFormatting sqref="C60:C61">
    <cfRule type="expression" priority="45" stopIfTrue="1">
      <formula>#REF!</formula>
    </cfRule>
  </conditionalFormatting>
  <conditionalFormatting sqref="C62">
    <cfRule type="expression" priority="44" stopIfTrue="1">
      <formula>#REF!</formula>
    </cfRule>
  </conditionalFormatting>
  <conditionalFormatting sqref="C62">
    <cfRule type="expression" priority="43" stopIfTrue="1">
      <formula>#REF!</formula>
    </cfRule>
  </conditionalFormatting>
  <conditionalFormatting sqref="C120">
    <cfRule type="expression" priority="48" stopIfTrue="1">
      <formula>#REF!</formula>
    </cfRule>
  </conditionalFormatting>
  <conditionalFormatting sqref="C120">
    <cfRule type="expression" priority="47" stopIfTrue="1">
      <formula>#REF!</formula>
    </cfRule>
  </conditionalFormatting>
  <conditionalFormatting sqref="C73">
    <cfRule type="expression" priority="34" stopIfTrue="1">
      <formula>#REF!</formula>
    </cfRule>
  </conditionalFormatting>
  <conditionalFormatting sqref="C73">
    <cfRule type="expression" priority="33" stopIfTrue="1">
      <formula>#REF!</formula>
    </cfRule>
  </conditionalFormatting>
  <conditionalFormatting sqref="C63">
    <cfRule type="expression" priority="42" stopIfTrue="1">
      <formula>#REF!</formula>
    </cfRule>
  </conditionalFormatting>
  <conditionalFormatting sqref="C63">
    <cfRule type="expression" priority="41" stopIfTrue="1">
      <formula>#REF!</formula>
    </cfRule>
  </conditionalFormatting>
  <conditionalFormatting sqref="C74">
    <cfRule type="expression" priority="32" stopIfTrue="1">
      <formula>#REF!</formula>
    </cfRule>
  </conditionalFormatting>
  <conditionalFormatting sqref="C74">
    <cfRule type="expression" priority="31" stopIfTrue="1">
      <formula>#REF!</formula>
    </cfRule>
  </conditionalFormatting>
  <conditionalFormatting sqref="C64">
    <cfRule type="expression" priority="40" stopIfTrue="1">
      <formula>#REF!</formula>
    </cfRule>
  </conditionalFormatting>
  <conditionalFormatting sqref="C64">
    <cfRule type="expression" priority="39" stopIfTrue="1">
      <formula>#REF!</formula>
    </cfRule>
  </conditionalFormatting>
  <conditionalFormatting sqref="C72">
    <cfRule type="expression" priority="30" stopIfTrue="1">
      <formula>#REF!</formula>
    </cfRule>
  </conditionalFormatting>
  <conditionalFormatting sqref="C72">
    <cfRule type="expression" priority="29" stopIfTrue="1">
      <formula>#REF!</formula>
    </cfRule>
  </conditionalFormatting>
  <conditionalFormatting sqref="C70:C71">
    <cfRule type="expression" priority="36" stopIfTrue="1">
      <formula>#REF!</formula>
    </cfRule>
  </conditionalFormatting>
  <conditionalFormatting sqref="C70:C71">
    <cfRule type="expression" priority="35" stopIfTrue="1">
      <formula>#REF!</formula>
    </cfRule>
  </conditionalFormatting>
  <conditionalFormatting sqref="C69">
    <cfRule type="expression" priority="28" stopIfTrue="1">
      <formula>#REF!</formula>
    </cfRule>
  </conditionalFormatting>
  <conditionalFormatting sqref="C69">
    <cfRule type="expression" priority="27" stopIfTrue="1">
      <formula>#REF!</formula>
    </cfRule>
  </conditionalFormatting>
  <conditionalFormatting sqref="C79">
    <cfRule type="expression" priority="26" stopIfTrue="1">
      <formula>#REF!</formula>
    </cfRule>
  </conditionalFormatting>
  <conditionalFormatting sqref="C79">
    <cfRule type="expression" priority="25" stopIfTrue="1">
      <formula>#REF!</formula>
    </cfRule>
  </conditionalFormatting>
  <conditionalFormatting sqref="C86">
    <cfRule type="expression" priority="20" stopIfTrue="1">
      <formula>#REF!</formula>
    </cfRule>
  </conditionalFormatting>
  <conditionalFormatting sqref="C86">
    <cfRule type="expression" priority="19" stopIfTrue="1">
      <formula>#REF!</formula>
    </cfRule>
  </conditionalFormatting>
  <conditionalFormatting sqref="C87">
    <cfRule type="expression" priority="18" stopIfTrue="1">
      <formula>#REF!</formula>
    </cfRule>
  </conditionalFormatting>
  <conditionalFormatting sqref="C87">
    <cfRule type="expression" priority="17" stopIfTrue="1">
      <formula>#REF!</formula>
    </cfRule>
  </conditionalFormatting>
  <conditionalFormatting sqref="C92">
    <cfRule type="expression" priority="16" stopIfTrue="1">
      <formula>#REF!</formula>
    </cfRule>
  </conditionalFormatting>
  <conditionalFormatting sqref="C92">
    <cfRule type="expression" priority="15" stopIfTrue="1">
      <formula>#REF!</formula>
    </cfRule>
  </conditionalFormatting>
  <conditionalFormatting sqref="C83:C84">
    <cfRule type="expression" priority="22" stopIfTrue="1">
      <formula>#REF!</formula>
    </cfRule>
  </conditionalFormatting>
  <conditionalFormatting sqref="C83:C84">
    <cfRule type="expression" priority="21" stopIfTrue="1">
      <formula>#REF!</formula>
    </cfRule>
  </conditionalFormatting>
  <conditionalFormatting sqref="C105">
    <cfRule type="expression" priority="4" stopIfTrue="1">
      <formula>#REF!</formula>
    </cfRule>
  </conditionalFormatting>
  <conditionalFormatting sqref="C105">
    <cfRule type="expression" priority="3" stopIfTrue="1">
      <formula>#REF!</formula>
    </cfRule>
  </conditionalFormatting>
  <conditionalFormatting sqref="C85">
    <cfRule type="expression" priority="14" stopIfTrue="1">
      <formula>#REF!</formula>
    </cfRule>
  </conditionalFormatting>
  <conditionalFormatting sqref="C85">
    <cfRule type="expression" priority="13" stopIfTrue="1">
      <formula>#REF!</formula>
    </cfRule>
  </conditionalFormatting>
  <conditionalFormatting sqref="C99">
    <cfRule type="expression" priority="8" stopIfTrue="1">
      <formula>#REF!</formula>
    </cfRule>
  </conditionalFormatting>
  <conditionalFormatting sqref="C99">
    <cfRule type="expression" priority="7" stopIfTrue="1">
      <formula>#REF!</formula>
    </cfRule>
  </conditionalFormatting>
  <conditionalFormatting sqref="C100">
    <cfRule type="expression" priority="6" stopIfTrue="1">
      <formula>#REF!</formula>
    </cfRule>
  </conditionalFormatting>
  <conditionalFormatting sqref="C100">
    <cfRule type="expression" priority="5" stopIfTrue="1">
      <formula>#REF!</formula>
    </cfRule>
  </conditionalFormatting>
  <conditionalFormatting sqref="C96:C97">
    <cfRule type="expression" priority="10" stopIfTrue="1">
      <formula>#REF!</formula>
    </cfRule>
  </conditionalFormatting>
  <conditionalFormatting sqref="C96:C97">
    <cfRule type="expression" priority="9" stopIfTrue="1">
      <formula>#REF!</formula>
    </cfRule>
  </conditionalFormatting>
  <conditionalFormatting sqref="C98">
    <cfRule type="expression" priority="2" stopIfTrue="1">
      <formula>#REF!</formula>
    </cfRule>
  </conditionalFormatting>
  <pageMargins left="0.23622047244094491" right="0.23622047244094491" top="0.74803149606299213" bottom="0.74803149606299213" header="0.31496062992125984" footer="0.31496062992125984"/>
  <pageSetup paperSize="9"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P120"/>
  <sheetViews>
    <sheetView showZeros="0" zoomScale="75" zoomScaleNormal="75" zoomScaleSheetLayoutView="80" workbookViewId="0">
      <selection activeCell="E12" sqref="E12"/>
    </sheetView>
  </sheetViews>
  <sheetFormatPr defaultColWidth="9.140625" defaultRowHeight="15"/>
  <cols>
    <col min="1" max="1" width="8.85546875" style="60" customWidth="1"/>
    <col min="2" max="2" width="11.7109375" style="60" customWidth="1"/>
    <col min="3" max="3" width="45.5703125" style="88" customWidth="1"/>
    <col min="4" max="4" width="8.7109375" style="60" customWidth="1"/>
    <col min="5" max="5" width="10.28515625" style="102" customWidth="1"/>
    <col min="6" max="11" width="8.7109375" style="60" customWidth="1"/>
    <col min="12" max="16" width="12.7109375" style="60" customWidth="1"/>
    <col min="17" max="16384" width="9.140625" style="60"/>
  </cols>
  <sheetData>
    <row r="1" spans="1:16" s="59" customFormat="1" ht="15.75">
      <c r="A1" s="909" t="s">
        <v>62</v>
      </c>
      <c r="B1" s="909"/>
      <c r="C1" s="909"/>
      <c r="D1" s="909"/>
      <c r="E1" s="909"/>
      <c r="F1" s="909"/>
      <c r="G1" s="909"/>
      <c r="H1" s="909"/>
      <c r="I1" s="909"/>
      <c r="J1" s="909"/>
      <c r="K1" s="909"/>
      <c r="L1" s="909"/>
      <c r="M1" s="909"/>
      <c r="N1" s="909"/>
      <c r="O1" s="909"/>
      <c r="P1" s="909"/>
    </row>
    <row r="2" spans="1:16" s="59" customFormat="1" ht="15.75">
      <c r="A2" s="899" t="s">
        <v>139</v>
      </c>
      <c r="B2" s="899"/>
      <c r="C2" s="899"/>
      <c r="D2" s="899"/>
      <c r="E2" s="899"/>
      <c r="F2" s="899"/>
      <c r="G2" s="899"/>
      <c r="H2" s="899"/>
      <c r="I2" s="899"/>
      <c r="J2" s="899"/>
      <c r="K2" s="899"/>
      <c r="L2" s="899"/>
      <c r="M2" s="899"/>
      <c r="N2" s="899"/>
      <c r="O2" s="899"/>
      <c r="P2" s="899"/>
    </row>
    <row r="3" spans="1:16" s="59" customFormat="1" ht="15.75">
      <c r="A3" s="876" t="s">
        <v>10</v>
      </c>
      <c r="B3" s="876"/>
      <c r="C3" s="859" t="s">
        <v>117</v>
      </c>
      <c r="D3" s="859"/>
      <c r="E3" s="859"/>
      <c r="F3" s="859"/>
      <c r="G3" s="859"/>
      <c r="H3" s="859"/>
      <c r="I3" s="859"/>
      <c r="J3" s="859"/>
      <c r="K3" s="859"/>
      <c r="L3" s="859"/>
      <c r="M3" s="859"/>
      <c r="N3" s="859"/>
      <c r="O3" s="859"/>
      <c r="P3" s="859"/>
    </row>
    <row r="4" spans="1:16" s="59" customFormat="1" ht="15.75">
      <c r="A4" s="876" t="s">
        <v>11</v>
      </c>
      <c r="B4" s="876"/>
      <c r="C4" s="859" t="s">
        <v>118</v>
      </c>
      <c r="D4" s="859"/>
      <c r="E4" s="859"/>
      <c r="F4" s="859"/>
      <c r="G4" s="859"/>
      <c r="H4" s="859"/>
      <c r="I4" s="859"/>
      <c r="J4" s="859"/>
      <c r="K4" s="859"/>
      <c r="L4" s="859"/>
      <c r="M4" s="859"/>
      <c r="N4" s="859"/>
      <c r="O4" s="859"/>
      <c r="P4" s="859"/>
    </row>
    <row r="5" spans="1:16" s="59" customFormat="1" ht="15.75">
      <c r="A5" s="876" t="s">
        <v>12</v>
      </c>
      <c r="B5" s="876"/>
      <c r="C5" s="859" t="s">
        <v>50</v>
      </c>
      <c r="D5" s="859"/>
      <c r="E5" s="859"/>
      <c r="F5" s="859"/>
      <c r="G5" s="859"/>
      <c r="H5" s="859"/>
      <c r="I5" s="859"/>
      <c r="J5" s="859"/>
      <c r="K5" s="859"/>
      <c r="L5" s="859"/>
      <c r="M5" s="859"/>
      <c r="N5" s="859"/>
      <c r="O5" s="859"/>
      <c r="P5" s="859"/>
    </row>
    <row r="6" spans="1:16" s="59" customFormat="1" ht="15.75">
      <c r="A6" s="876" t="s">
        <v>30</v>
      </c>
      <c r="B6" s="876"/>
      <c r="C6" s="874"/>
      <c r="D6" s="874"/>
      <c r="E6" s="874"/>
      <c r="F6" s="874"/>
      <c r="G6" s="874"/>
      <c r="H6" s="874"/>
      <c r="I6" s="874"/>
      <c r="J6" s="874"/>
      <c r="K6" s="874"/>
      <c r="L6" s="874"/>
      <c r="M6" s="874"/>
      <c r="N6" s="874"/>
      <c r="O6" s="874"/>
      <c r="P6" s="874"/>
    </row>
    <row r="7" spans="1:16" s="59" customFormat="1" ht="15.75">
      <c r="A7" s="876" t="s">
        <v>54</v>
      </c>
      <c r="B7" s="876"/>
      <c r="C7" s="873"/>
      <c r="D7" s="873"/>
      <c r="E7" s="873"/>
      <c r="F7" s="873"/>
      <c r="G7" s="873"/>
      <c r="H7" s="873"/>
      <c r="I7" s="873"/>
      <c r="J7" s="873"/>
      <c r="K7" s="873"/>
      <c r="L7" s="873"/>
      <c r="M7" s="873"/>
      <c r="N7" s="873"/>
      <c r="O7" s="873"/>
      <c r="P7" s="873"/>
    </row>
    <row r="8" spans="1:16" s="59" customFormat="1" ht="15.75">
      <c r="A8" s="73"/>
      <c r="B8" s="73"/>
      <c r="C8" s="73"/>
      <c r="D8" s="73"/>
      <c r="E8" s="104"/>
      <c r="F8" s="73"/>
      <c r="G8" s="73"/>
      <c r="H8" s="73"/>
      <c r="I8" s="73"/>
      <c r="J8" s="73"/>
      <c r="K8" s="73"/>
      <c r="L8" s="66"/>
      <c r="M8" s="66"/>
      <c r="N8" s="74"/>
      <c r="O8" s="63" t="s">
        <v>52</v>
      </c>
      <c r="P8" s="75">
        <f>P115</f>
        <v>0</v>
      </c>
    </row>
    <row r="9" spans="1:16">
      <c r="C9" s="60"/>
    </row>
    <row r="10" spans="1:16"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6" ht="74.2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6">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6" s="1" customFormat="1">
      <c r="A13" s="370"/>
      <c r="B13" s="370"/>
      <c r="C13" s="371" t="s">
        <v>139</v>
      </c>
      <c r="D13" s="430"/>
      <c r="E13" s="442"/>
      <c r="F13" s="135"/>
      <c r="G13" s="135"/>
      <c r="H13" s="135"/>
      <c r="I13" s="135"/>
      <c r="J13" s="135"/>
      <c r="K13" s="135"/>
      <c r="L13" s="135"/>
      <c r="M13" s="136"/>
      <c r="N13" s="136"/>
      <c r="O13" s="136"/>
      <c r="P13" s="136"/>
    </row>
    <row r="14" spans="1:16" s="1" customFormat="1">
      <c r="A14" s="370"/>
      <c r="B14" s="370"/>
      <c r="C14" s="447" t="s">
        <v>490</v>
      </c>
      <c r="D14" s="430" t="s">
        <v>82</v>
      </c>
      <c r="E14" s="442">
        <f>380.03</f>
        <v>380.03</v>
      </c>
      <c r="F14" s="135"/>
      <c r="G14" s="135"/>
      <c r="H14" s="135"/>
      <c r="I14" s="135"/>
      <c r="J14" s="135"/>
      <c r="K14" s="135"/>
      <c r="L14" s="135"/>
      <c r="M14" s="136"/>
      <c r="N14" s="136"/>
      <c r="O14" s="136"/>
      <c r="P14" s="136"/>
    </row>
    <row r="15" spans="1:16" s="1" customFormat="1">
      <c r="A15" s="344">
        <v>1</v>
      </c>
      <c r="B15" s="344" t="s">
        <v>149</v>
      </c>
      <c r="C15" s="452" t="s">
        <v>491</v>
      </c>
      <c r="D15" s="499" t="str">
        <f>D14</f>
        <v>m2</v>
      </c>
      <c r="E15" s="501">
        <f>E14</f>
        <v>380.03</v>
      </c>
      <c r="F15" s="153"/>
      <c r="G15" s="153"/>
      <c r="H15" s="153"/>
      <c r="I15" s="153"/>
      <c r="J15" s="153"/>
      <c r="K15" s="153"/>
      <c r="L15" s="153"/>
      <c r="M15" s="208"/>
      <c r="N15" s="208"/>
      <c r="O15" s="208"/>
      <c r="P15" s="208"/>
    </row>
    <row r="16" spans="1:16" s="1" customFormat="1">
      <c r="A16" s="348">
        <f>A15+1</f>
        <v>2</v>
      </c>
      <c r="B16" s="348" t="s">
        <v>149</v>
      </c>
      <c r="C16" s="377" t="s">
        <v>492</v>
      </c>
      <c r="D16" s="378" t="str">
        <f>D15</f>
        <v>m2</v>
      </c>
      <c r="E16" s="354">
        <f>E15</f>
        <v>380.03</v>
      </c>
      <c r="F16" s="145"/>
      <c r="G16" s="145"/>
      <c r="H16" s="145"/>
      <c r="I16" s="145"/>
      <c r="J16" s="145"/>
      <c r="K16" s="145"/>
      <c r="L16" s="145"/>
      <c r="M16" s="204"/>
      <c r="N16" s="204"/>
      <c r="O16" s="204"/>
      <c r="P16" s="204"/>
    </row>
    <row r="17" spans="1:16" s="1" customFormat="1">
      <c r="A17" s="348">
        <f>A16+1</f>
        <v>3</v>
      </c>
      <c r="B17" s="348" t="s">
        <v>149</v>
      </c>
      <c r="C17" s="377" t="s">
        <v>493</v>
      </c>
      <c r="D17" s="378" t="s">
        <v>82</v>
      </c>
      <c r="E17" s="354">
        <f>E14</f>
        <v>380.03</v>
      </c>
      <c r="F17" s="145"/>
      <c r="G17" s="145"/>
      <c r="H17" s="145"/>
      <c r="I17" s="145"/>
      <c r="J17" s="145"/>
      <c r="K17" s="145"/>
      <c r="L17" s="145"/>
      <c r="M17" s="204"/>
      <c r="N17" s="204"/>
      <c r="O17" s="204"/>
      <c r="P17" s="204"/>
    </row>
    <row r="18" spans="1:16" s="1" customFormat="1" ht="24">
      <c r="A18" s="348">
        <f>A17+1</f>
        <v>4</v>
      </c>
      <c r="B18" s="348" t="s">
        <v>149</v>
      </c>
      <c r="C18" s="377" t="s">
        <v>494</v>
      </c>
      <c r="D18" s="378" t="str">
        <f>D17</f>
        <v>m2</v>
      </c>
      <c r="E18" s="354">
        <f>E17</f>
        <v>380.03</v>
      </c>
      <c r="F18" s="145"/>
      <c r="G18" s="145"/>
      <c r="H18" s="145"/>
      <c r="I18" s="145"/>
      <c r="J18" s="145"/>
      <c r="K18" s="145"/>
      <c r="L18" s="145"/>
      <c r="M18" s="204"/>
      <c r="N18" s="204"/>
      <c r="O18" s="204"/>
      <c r="P18" s="204"/>
    </row>
    <row r="19" spans="1:16" s="1" customFormat="1">
      <c r="A19" s="348">
        <f>A18+1</f>
        <v>5</v>
      </c>
      <c r="B19" s="348" t="s">
        <v>149</v>
      </c>
      <c r="C19" s="377" t="s">
        <v>495</v>
      </c>
      <c r="D19" s="378" t="str">
        <f>D17</f>
        <v>m2</v>
      </c>
      <c r="E19" s="354">
        <f>E17</f>
        <v>380.03</v>
      </c>
      <c r="F19" s="145"/>
      <c r="G19" s="145"/>
      <c r="H19" s="145"/>
      <c r="I19" s="145"/>
      <c r="J19" s="145"/>
      <c r="K19" s="145"/>
      <c r="L19" s="145"/>
      <c r="M19" s="204"/>
      <c r="N19" s="204"/>
      <c r="O19" s="204"/>
      <c r="P19" s="204"/>
    </row>
    <row r="20" spans="1:16" s="1" customFormat="1">
      <c r="A20" s="380">
        <f>A19+1</f>
        <v>6</v>
      </c>
      <c r="B20" s="380" t="s">
        <v>149</v>
      </c>
      <c r="C20" s="381" t="s">
        <v>496</v>
      </c>
      <c r="D20" s="382" t="str">
        <f>D17</f>
        <v>m2</v>
      </c>
      <c r="E20" s="441">
        <f>E17</f>
        <v>380.03</v>
      </c>
      <c r="F20" s="150"/>
      <c r="G20" s="150"/>
      <c r="H20" s="150"/>
      <c r="I20" s="150"/>
      <c r="J20" s="150"/>
      <c r="K20" s="150"/>
      <c r="L20" s="150"/>
      <c r="M20" s="207"/>
      <c r="N20" s="207"/>
      <c r="O20" s="207"/>
      <c r="P20" s="207"/>
    </row>
    <row r="21" spans="1:16" s="1" customFormat="1">
      <c r="A21" s="370"/>
      <c r="B21" s="370"/>
      <c r="C21" s="447" t="s">
        <v>497</v>
      </c>
      <c r="D21" s="430" t="s">
        <v>82</v>
      </c>
      <c r="E21" s="442">
        <f>160.39</f>
        <v>160.38999999999999</v>
      </c>
      <c r="F21" s="135"/>
      <c r="G21" s="135"/>
      <c r="H21" s="135"/>
      <c r="I21" s="135"/>
      <c r="J21" s="135"/>
      <c r="K21" s="135"/>
      <c r="L21" s="135"/>
      <c r="M21" s="136"/>
      <c r="N21" s="136"/>
      <c r="O21" s="136"/>
      <c r="P21" s="136"/>
    </row>
    <row r="22" spans="1:16" s="1" customFormat="1">
      <c r="A22" s="385">
        <f>A20+1</f>
        <v>7</v>
      </c>
      <c r="B22" s="385" t="s">
        <v>149</v>
      </c>
      <c r="C22" s="386" t="s">
        <v>491</v>
      </c>
      <c r="D22" s="387" t="str">
        <f>D21</f>
        <v>m2</v>
      </c>
      <c r="E22" s="433">
        <f>E21</f>
        <v>160.38999999999999</v>
      </c>
      <c r="F22" s="146"/>
      <c r="G22" s="146"/>
      <c r="H22" s="146"/>
      <c r="I22" s="146"/>
      <c r="J22" s="146"/>
      <c r="K22" s="146"/>
      <c r="L22" s="146"/>
      <c r="M22" s="205"/>
      <c r="N22" s="205"/>
      <c r="O22" s="205"/>
      <c r="P22" s="205"/>
    </row>
    <row r="23" spans="1:16" s="1" customFormat="1">
      <c r="A23" s="348">
        <f>A22+1</f>
        <v>8</v>
      </c>
      <c r="B23" s="348" t="s">
        <v>149</v>
      </c>
      <c r="C23" s="377" t="s">
        <v>492</v>
      </c>
      <c r="D23" s="378" t="str">
        <f>D22</f>
        <v>m2</v>
      </c>
      <c r="E23" s="354">
        <f>E22</f>
        <v>160.38999999999999</v>
      </c>
      <c r="F23" s="145"/>
      <c r="G23" s="145"/>
      <c r="H23" s="145"/>
      <c r="I23" s="145"/>
      <c r="J23" s="145"/>
      <c r="K23" s="145"/>
      <c r="L23" s="145"/>
      <c r="M23" s="204"/>
      <c r="N23" s="204"/>
      <c r="O23" s="204"/>
      <c r="P23" s="204"/>
    </row>
    <row r="24" spans="1:16" s="1" customFormat="1">
      <c r="A24" s="348">
        <f>A23+1</f>
        <v>9</v>
      </c>
      <c r="B24" s="348" t="s">
        <v>149</v>
      </c>
      <c r="C24" s="377" t="s">
        <v>493</v>
      </c>
      <c r="D24" s="378" t="s">
        <v>82</v>
      </c>
      <c r="E24" s="354">
        <f>E21</f>
        <v>160.38999999999999</v>
      </c>
      <c r="F24" s="145"/>
      <c r="G24" s="145"/>
      <c r="H24" s="145"/>
      <c r="I24" s="145"/>
      <c r="J24" s="145"/>
      <c r="K24" s="145"/>
      <c r="L24" s="145"/>
      <c r="M24" s="204"/>
      <c r="N24" s="204"/>
      <c r="O24" s="204"/>
      <c r="P24" s="204"/>
    </row>
    <row r="25" spans="1:16" s="1" customFormat="1" ht="24">
      <c r="A25" s="348">
        <f>A24+1</f>
        <v>10</v>
      </c>
      <c r="B25" s="348" t="s">
        <v>149</v>
      </c>
      <c r="C25" s="377" t="s">
        <v>494</v>
      </c>
      <c r="D25" s="378" t="str">
        <f>D24</f>
        <v>m2</v>
      </c>
      <c r="E25" s="354">
        <f>E24</f>
        <v>160.38999999999999</v>
      </c>
      <c r="F25" s="145"/>
      <c r="G25" s="145"/>
      <c r="H25" s="145"/>
      <c r="I25" s="145"/>
      <c r="J25" s="145"/>
      <c r="K25" s="145"/>
      <c r="L25" s="145"/>
      <c r="M25" s="204"/>
      <c r="N25" s="204"/>
      <c r="O25" s="204"/>
      <c r="P25" s="204"/>
    </row>
    <row r="26" spans="1:16" s="1" customFormat="1">
      <c r="A26" s="348">
        <f>A25+1</f>
        <v>11</v>
      </c>
      <c r="B26" s="348" t="s">
        <v>149</v>
      </c>
      <c r="C26" s="377" t="s">
        <v>498</v>
      </c>
      <c r="D26" s="378" t="str">
        <f>D24</f>
        <v>m2</v>
      </c>
      <c r="E26" s="354">
        <f>E24</f>
        <v>160.38999999999999</v>
      </c>
      <c r="F26" s="145"/>
      <c r="G26" s="145"/>
      <c r="H26" s="145"/>
      <c r="I26" s="145"/>
      <c r="J26" s="145"/>
      <c r="K26" s="145"/>
      <c r="L26" s="145"/>
      <c r="M26" s="204"/>
      <c r="N26" s="204"/>
      <c r="O26" s="204"/>
      <c r="P26" s="204"/>
    </row>
    <row r="27" spans="1:16" s="1" customFormat="1">
      <c r="A27" s="380">
        <f>A26+1</f>
        <v>12</v>
      </c>
      <c r="B27" s="380" t="s">
        <v>149</v>
      </c>
      <c r="C27" s="381" t="s">
        <v>496</v>
      </c>
      <c r="D27" s="382" t="str">
        <f>D24</f>
        <v>m2</v>
      </c>
      <c r="E27" s="441">
        <f>E24</f>
        <v>160.38999999999999</v>
      </c>
      <c r="F27" s="150"/>
      <c r="G27" s="150"/>
      <c r="H27" s="150"/>
      <c r="I27" s="150"/>
      <c r="J27" s="150"/>
      <c r="K27" s="150"/>
      <c r="L27" s="150"/>
      <c r="M27" s="207"/>
      <c r="N27" s="207"/>
      <c r="O27" s="207"/>
      <c r="P27" s="207"/>
    </row>
    <row r="28" spans="1:16" s="1" customFormat="1">
      <c r="A28" s="370"/>
      <c r="B28" s="370"/>
      <c r="C28" s="447" t="s">
        <v>499</v>
      </c>
      <c r="D28" s="430" t="s">
        <v>82</v>
      </c>
      <c r="E28" s="442">
        <f>524.25</f>
        <v>524.25</v>
      </c>
      <c r="F28" s="135"/>
      <c r="G28" s="135"/>
      <c r="H28" s="135"/>
      <c r="I28" s="135"/>
      <c r="J28" s="135"/>
      <c r="K28" s="135"/>
      <c r="L28" s="135"/>
      <c r="M28" s="136"/>
      <c r="N28" s="136"/>
      <c r="O28" s="136"/>
      <c r="P28" s="136"/>
    </row>
    <row r="29" spans="1:16" s="1" customFormat="1">
      <c r="A29" s="385">
        <f>A27+1</f>
        <v>13</v>
      </c>
      <c r="B29" s="385" t="s">
        <v>149</v>
      </c>
      <c r="C29" s="386" t="s">
        <v>500</v>
      </c>
      <c r="D29" s="387" t="str">
        <f>D28</f>
        <v>m2</v>
      </c>
      <c r="E29" s="433">
        <f>E28</f>
        <v>524.25</v>
      </c>
      <c r="F29" s="146"/>
      <c r="G29" s="146"/>
      <c r="H29" s="146"/>
      <c r="I29" s="146"/>
      <c r="J29" s="146"/>
      <c r="K29" s="146"/>
      <c r="L29" s="146"/>
      <c r="M29" s="205"/>
      <c r="N29" s="205"/>
      <c r="O29" s="205"/>
      <c r="P29" s="205"/>
    </row>
    <row r="30" spans="1:16" s="1" customFormat="1" ht="24">
      <c r="A30" s="348">
        <f>A29+1</f>
        <v>14</v>
      </c>
      <c r="B30" s="348" t="s">
        <v>149</v>
      </c>
      <c r="C30" s="377" t="s">
        <v>501</v>
      </c>
      <c r="D30" s="378" t="str">
        <f>D28</f>
        <v>m2</v>
      </c>
      <c r="E30" s="354">
        <f>E28</f>
        <v>524.25</v>
      </c>
      <c r="F30" s="145"/>
      <c r="G30" s="145"/>
      <c r="H30" s="145"/>
      <c r="I30" s="145"/>
      <c r="J30" s="145"/>
      <c r="K30" s="145"/>
      <c r="L30" s="145"/>
      <c r="M30" s="204"/>
      <c r="N30" s="204"/>
      <c r="O30" s="204"/>
      <c r="P30" s="204"/>
    </row>
    <row r="31" spans="1:16" s="1" customFormat="1">
      <c r="A31" s="348">
        <f>A30+1</f>
        <v>15</v>
      </c>
      <c r="B31" s="348" t="s">
        <v>149</v>
      </c>
      <c r="C31" s="377" t="s">
        <v>321</v>
      </c>
      <c r="D31" s="378" t="str">
        <f>D28</f>
        <v>m2</v>
      </c>
      <c r="E31" s="354">
        <f>E28</f>
        <v>524.25</v>
      </c>
      <c r="F31" s="145"/>
      <c r="G31" s="145"/>
      <c r="H31" s="145"/>
      <c r="I31" s="145"/>
      <c r="J31" s="145"/>
      <c r="K31" s="145"/>
      <c r="L31" s="145"/>
      <c r="M31" s="204"/>
      <c r="N31" s="204"/>
      <c r="O31" s="204"/>
      <c r="P31" s="204"/>
    </row>
    <row r="32" spans="1:16" s="1" customFormat="1">
      <c r="A32" s="348">
        <f>A31+1</f>
        <v>16</v>
      </c>
      <c r="B32" s="348" t="s">
        <v>149</v>
      </c>
      <c r="C32" s="377" t="s">
        <v>502</v>
      </c>
      <c r="D32" s="378" t="str">
        <f>D28</f>
        <v>m2</v>
      </c>
      <c r="E32" s="354">
        <f>E28</f>
        <v>524.25</v>
      </c>
      <c r="F32" s="145"/>
      <c r="G32" s="145"/>
      <c r="H32" s="145"/>
      <c r="I32" s="145"/>
      <c r="J32" s="145"/>
      <c r="K32" s="145"/>
      <c r="L32" s="145"/>
      <c r="M32" s="204"/>
      <c r="N32" s="204"/>
      <c r="O32" s="204"/>
      <c r="P32" s="204"/>
    </row>
    <row r="33" spans="1:16" s="1" customFormat="1">
      <c r="A33" s="380">
        <f>A32+1</f>
        <v>17</v>
      </c>
      <c r="B33" s="380" t="s">
        <v>149</v>
      </c>
      <c r="C33" s="381" t="s">
        <v>496</v>
      </c>
      <c r="D33" s="382" t="str">
        <f>D28</f>
        <v>m2</v>
      </c>
      <c r="E33" s="441">
        <f>E28</f>
        <v>524.25</v>
      </c>
      <c r="F33" s="150"/>
      <c r="G33" s="150"/>
      <c r="H33" s="150"/>
      <c r="I33" s="150"/>
      <c r="J33" s="150"/>
      <c r="K33" s="150"/>
      <c r="L33" s="150"/>
      <c r="M33" s="207"/>
      <c r="N33" s="207"/>
      <c r="O33" s="207"/>
      <c r="P33" s="207"/>
    </row>
    <row r="34" spans="1:16" s="1" customFormat="1">
      <c r="A34" s="370"/>
      <c r="B34" s="370"/>
      <c r="C34" s="447" t="s">
        <v>503</v>
      </c>
      <c r="D34" s="430" t="s">
        <v>82</v>
      </c>
      <c r="E34" s="442">
        <f>49.82</f>
        <v>49.82</v>
      </c>
      <c r="F34" s="135"/>
      <c r="G34" s="135"/>
      <c r="H34" s="135"/>
      <c r="I34" s="135"/>
      <c r="J34" s="135"/>
      <c r="K34" s="135"/>
      <c r="L34" s="135"/>
      <c r="M34" s="136"/>
      <c r="N34" s="136"/>
      <c r="O34" s="136"/>
      <c r="P34" s="136"/>
    </row>
    <row r="35" spans="1:16" s="1" customFormat="1">
      <c r="A35" s="385">
        <f>A33+1</f>
        <v>18</v>
      </c>
      <c r="B35" s="385" t="s">
        <v>149</v>
      </c>
      <c r="C35" s="386" t="s">
        <v>500</v>
      </c>
      <c r="D35" s="387" t="str">
        <f>D34</f>
        <v>m2</v>
      </c>
      <c r="E35" s="433">
        <f>E34</f>
        <v>49.82</v>
      </c>
      <c r="F35" s="146"/>
      <c r="G35" s="146"/>
      <c r="H35" s="146"/>
      <c r="I35" s="146"/>
      <c r="J35" s="146"/>
      <c r="K35" s="146"/>
      <c r="L35" s="146"/>
      <c r="M35" s="205"/>
      <c r="N35" s="205"/>
      <c r="O35" s="205"/>
      <c r="P35" s="205"/>
    </row>
    <row r="36" spans="1:16" s="1" customFormat="1" ht="24">
      <c r="A36" s="348">
        <f>A35+1</f>
        <v>19</v>
      </c>
      <c r="B36" s="348" t="s">
        <v>149</v>
      </c>
      <c r="C36" s="377" t="s">
        <v>501</v>
      </c>
      <c r="D36" s="378" t="str">
        <f>D34</f>
        <v>m2</v>
      </c>
      <c r="E36" s="354">
        <f>E34</f>
        <v>49.82</v>
      </c>
      <c r="F36" s="145"/>
      <c r="G36" s="145"/>
      <c r="H36" s="145"/>
      <c r="I36" s="145"/>
      <c r="J36" s="145"/>
      <c r="K36" s="145"/>
      <c r="L36" s="145"/>
      <c r="M36" s="204"/>
      <c r="N36" s="204"/>
      <c r="O36" s="204"/>
      <c r="P36" s="204"/>
    </row>
    <row r="37" spans="1:16" s="1" customFormat="1">
      <c r="A37" s="348">
        <f>A36+1</f>
        <v>20</v>
      </c>
      <c r="B37" s="348" t="s">
        <v>149</v>
      </c>
      <c r="C37" s="377" t="s">
        <v>321</v>
      </c>
      <c r="D37" s="378" t="str">
        <f>D34</f>
        <v>m2</v>
      </c>
      <c r="E37" s="354">
        <f>E34</f>
        <v>49.82</v>
      </c>
      <c r="F37" s="145"/>
      <c r="G37" s="145"/>
      <c r="H37" s="145"/>
      <c r="I37" s="145"/>
      <c r="J37" s="145"/>
      <c r="K37" s="145"/>
      <c r="L37" s="145"/>
      <c r="M37" s="204"/>
      <c r="N37" s="204"/>
      <c r="O37" s="204"/>
      <c r="P37" s="204"/>
    </row>
    <row r="38" spans="1:16" s="1" customFormat="1">
      <c r="A38" s="348">
        <f>A37+1</f>
        <v>21</v>
      </c>
      <c r="B38" s="348" t="s">
        <v>149</v>
      </c>
      <c r="C38" s="377" t="s">
        <v>504</v>
      </c>
      <c r="D38" s="378" t="str">
        <f>D34</f>
        <v>m2</v>
      </c>
      <c r="E38" s="354">
        <f>E34</f>
        <v>49.82</v>
      </c>
      <c r="F38" s="145"/>
      <c r="G38" s="145"/>
      <c r="H38" s="145"/>
      <c r="I38" s="145"/>
      <c r="J38" s="145"/>
      <c r="K38" s="145"/>
      <c r="L38" s="145"/>
      <c r="M38" s="204"/>
      <c r="N38" s="204"/>
      <c r="O38" s="204"/>
      <c r="P38" s="204"/>
    </row>
    <row r="39" spans="1:16" s="1" customFormat="1">
      <c r="A39" s="348">
        <f>A38+1</f>
        <v>22</v>
      </c>
      <c r="B39" s="348" t="s">
        <v>149</v>
      </c>
      <c r="C39" s="377" t="s">
        <v>496</v>
      </c>
      <c r="D39" s="378" t="str">
        <f>D34</f>
        <v>m2</v>
      </c>
      <c r="E39" s="354">
        <f>E34</f>
        <v>49.82</v>
      </c>
      <c r="F39" s="145"/>
      <c r="G39" s="145"/>
      <c r="H39" s="145"/>
      <c r="I39" s="145"/>
      <c r="J39" s="145"/>
      <c r="K39" s="145"/>
      <c r="L39" s="145"/>
      <c r="M39" s="204"/>
      <c r="N39" s="204"/>
      <c r="O39" s="204"/>
      <c r="P39" s="204"/>
    </row>
    <row r="40" spans="1:16" s="1" customFormat="1" ht="24">
      <c r="A40" s="380">
        <f>A39+1</f>
        <v>23</v>
      </c>
      <c r="B40" s="380" t="s">
        <v>149</v>
      </c>
      <c r="C40" s="381" t="s">
        <v>505</v>
      </c>
      <c r="D40" s="382" t="str">
        <f>D30</f>
        <v>m2</v>
      </c>
      <c r="E40" s="441">
        <f>E35</f>
        <v>49.82</v>
      </c>
      <c r="F40" s="150"/>
      <c r="G40" s="150"/>
      <c r="H40" s="150"/>
      <c r="I40" s="150"/>
      <c r="J40" s="150"/>
      <c r="K40" s="150"/>
      <c r="L40" s="150"/>
      <c r="M40" s="207"/>
      <c r="N40" s="207"/>
      <c r="O40" s="207"/>
      <c r="P40" s="207"/>
    </row>
    <row r="41" spans="1:16" s="1" customFormat="1">
      <c r="A41" s="370"/>
      <c r="B41" s="370"/>
      <c r="C41" s="447" t="s">
        <v>506</v>
      </c>
      <c r="D41" s="430" t="s">
        <v>82</v>
      </c>
      <c r="E41" s="442">
        <f>41.42</f>
        <v>41.42</v>
      </c>
      <c r="F41" s="135"/>
      <c r="G41" s="135"/>
      <c r="H41" s="135"/>
      <c r="I41" s="135"/>
      <c r="J41" s="135"/>
      <c r="K41" s="135"/>
      <c r="L41" s="135"/>
      <c r="M41" s="136"/>
      <c r="N41" s="136"/>
      <c r="O41" s="136"/>
      <c r="P41" s="136"/>
    </row>
    <row r="42" spans="1:16" s="1" customFormat="1" ht="24">
      <c r="A42" s="385">
        <f>A40+1</f>
        <v>24</v>
      </c>
      <c r="B42" s="385" t="s">
        <v>149</v>
      </c>
      <c r="C42" s="386" t="s">
        <v>501</v>
      </c>
      <c r="D42" s="387" t="str">
        <f>D41</f>
        <v>m2</v>
      </c>
      <c r="E42" s="433">
        <f>E41</f>
        <v>41.42</v>
      </c>
      <c r="F42" s="146"/>
      <c r="G42" s="146"/>
      <c r="H42" s="146"/>
      <c r="I42" s="146"/>
      <c r="J42" s="146"/>
      <c r="K42" s="146"/>
      <c r="L42" s="146"/>
      <c r="M42" s="205"/>
      <c r="N42" s="205"/>
      <c r="O42" s="205"/>
      <c r="P42" s="205"/>
    </row>
    <row r="43" spans="1:16" s="1" customFormat="1">
      <c r="A43" s="348">
        <f>A42+1</f>
        <v>25</v>
      </c>
      <c r="B43" s="348" t="s">
        <v>149</v>
      </c>
      <c r="C43" s="377" t="s">
        <v>321</v>
      </c>
      <c r="D43" s="378" t="str">
        <f>D41</f>
        <v>m2</v>
      </c>
      <c r="E43" s="354">
        <f>E41</f>
        <v>41.42</v>
      </c>
      <c r="F43" s="145"/>
      <c r="G43" s="145"/>
      <c r="H43" s="145"/>
      <c r="I43" s="145"/>
      <c r="J43" s="145"/>
      <c r="K43" s="145"/>
      <c r="L43" s="145"/>
      <c r="M43" s="204"/>
      <c r="N43" s="204"/>
      <c r="O43" s="204"/>
      <c r="P43" s="204"/>
    </row>
    <row r="44" spans="1:16" s="1" customFormat="1">
      <c r="A44" s="348">
        <f>A43+1</f>
        <v>26</v>
      </c>
      <c r="B44" s="348" t="s">
        <v>149</v>
      </c>
      <c r="C44" s="377" t="s">
        <v>502</v>
      </c>
      <c r="D44" s="378" t="str">
        <f>D41</f>
        <v>m2</v>
      </c>
      <c r="E44" s="354">
        <f>E41</f>
        <v>41.42</v>
      </c>
      <c r="F44" s="145"/>
      <c r="G44" s="145"/>
      <c r="H44" s="145"/>
      <c r="I44" s="145"/>
      <c r="J44" s="145"/>
      <c r="K44" s="145"/>
      <c r="L44" s="145"/>
      <c r="M44" s="204"/>
      <c r="N44" s="204"/>
      <c r="O44" s="204"/>
      <c r="P44" s="204"/>
    </row>
    <row r="45" spans="1:16" s="1" customFormat="1">
      <c r="A45" s="380">
        <f>A44+1</f>
        <v>27</v>
      </c>
      <c r="B45" s="380" t="s">
        <v>149</v>
      </c>
      <c r="C45" s="381" t="s">
        <v>496</v>
      </c>
      <c r="D45" s="382" t="str">
        <f>D41</f>
        <v>m2</v>
      </c>
      <c r="E45" s="441">
        <f>E41</f>
        <v>41.42</v>
      </c>
      <c r="F45" s="150"/>
      <c r="G45" s="150"/>
      <c r="H45" s="150"/>
      <c r="I45" s="150"/>
      <c r="J45" s="150"/>
      <c r="K45" s="150"/>
      <c r="L45" s="150"/>
      <c r="M45" s="207"/>
      <c r="N45" s="207"/>
      <c r="O45" s="207"/>
      <c r="P45" s="207"/>
    </row>
    <row r="46" spans="1:16" s="1" customFormat="1">
      <c r="A46" s="370"/>
      <c r="B46" s="370"/>
      <c r="C46" s="447" t="s">
        <v>507</v>
      </c>
      <c r="D46" s="430" t="s">
        <v>82</v>
      </c>
      <c r="E46" s="442">
        <f>151.28</f>
        <v>151.28</v>
      </c>
      <c r="F46" s="135"/>
      <c r="G46" s="135"/>
      <c r="H46" s="135"/>
      <c r="I46" s="135"/>
      <c r="J46" s="135"/>
      <c r="K46" s="135"/>
      <c r="L46" s="135"/>
      <c r="M46" s="136"/>
      <c r="N46" s="136"/>
      <c r="O46" s="136"/>
      <c r="P46" s="136"/>
    </row>
    <row r="47" spans="1:16" s="1" customFormat="1">
      <c r="A47" s="385">
        <f>A45+1</f>
        <v>28</v>
      </c>
      <c r="B47" s="385" t="s">
        <v>149</v>
      </c>
      <c r="C47" s="386" t="s">
        <v>508</v>
      </c>
      <c r="D47" s="387" t="str">
        <f>D45</f>
        <v>m2</v>
      </c>
      <c r="E47" s="433">
        <f>E46</f>
        <v>151.28</v>
      </c>
      <c r="F47" s="146"/>
      <c r="G47" s="146"/>
      <c r="H47" s="146"/>
      <c r="I47" s="146"/>
      <c r="J47" s="146"/>
      <c r="K47" s="146"/>
      <c r="L47" s="146"/>
      <c r="M47" s="205"/>
      <c r="N47" s="205"/>
      <c r="O47" s="205"/>
      <c r="P47" s="205"/>
    </row>
    <row r="48" spans="1:16" s="1" customFormat="1" ht="24">
      <c r="A48" s="348">
        <f>A47+1</f>
        <v>29</v>
      </c>
      <c r="B48" s="348" t="s">
        <v>149</v>
      </c>
      <c r="C48" s="377" t="s">
        <v>501</v>
      </c>
      <c r="D48" s="378" t="str">
        <f>D46</f>
        <v>m2</v>
      </c>
      <c r="E48" s="354">
        <f>E46</f>
        <v>151.28</v>
      </c>
      <c r="F48" s="145"/>
      <c r="G48" s="145"/>
      <c r="H48" s="145"/>
      <c r="I48" s="145"/>
      <c r="J48" s="145"/>
      <c r="K48" s="145"/>
      <c r="L48" s="145"/>
      <c r="M48" s="204"/>
      <c r="N48" s="204"/>
      <c r="O48" s="204"/>
      <c r="P48" s="204"/>
    </row>
    <row r="49" spans="1:16" s="1" customFormat="1">
      <c r="A49" s="348">
        <f>A48+1</f>
        <v>30</v>
      </c>
      <c r="B49" s="348" t="s">
        <v>149</v>
      </c>
      <c r="C49" s="377" t="s">
        <v>321</v>
      </c>
      <c r="D49" s="378" t="str">
        <f>D46</f>
        <v>m2</v>
      </c>
      <c r="E49" s="354">
        <f>E46</f>
        <v>151.28</v>
      </c>
      <c r="F49" s="145"/>
      <c r="G49" s="145"/>
      <c r="H49" s="145"/>
      <c r="I49" s="145"/>
      <c r="J49" s="145"/>
      <c r="K49" s="145"/>
      <c r="L49" s="145"/>
      <c r="M49" s="204"/>
      <c r="N49" s="204"/>
      <c r="O49" s="204"/>
      <c r="P49" s="204"/>
    </row>
    <row r="50" spans="1:16" s="1" customFormat="1">
      <c r="A50" s="348">
        <f>A49+1</f>
        <v>31</v>
      </c>
      <c r="B50" s="348" t="s">
        <v>149</v>
      </c>
      <c r="C50" s="377" t="s">
        <v>502</v>
      </c>
      <c r="D50" s="378" t="str">
        <f>D46</f>
        <v>m2</v>
      </c>
      <c r="E50" s="354">
        <f>E46</f>
        <v>151.28</v>
      </c>
      <c r="F50" s="145"/>
      <c r="G50" s="145"/>
      <c r="H50" s="145"/>
      <c r="I50" s="145"/>
      <c r="J50" s="145"/>
      <c r="K50" s="145"/>
      <c r="L50" s="145"/>
      <c r="M50" s="204"/>
      <c r="N50" s="204"/>
      <c r="O50" s="204"/>
      <c r="P50" s="204"/>
    </row>
    <row r="51" spans="1:16" s="1" customFormat="1">
      <c r="A51" s="348">
        <f>A50+1</f>
        <v>32</v>
      </c>
      <c r="B51" s="348" t="s">
        <v>149</v>
      </c>
      <c r="C51" s="377" t="s">
        <v>496</v>
      </c>
      <c r="D51" s="378" t="str">
        <f>D46</f>
        <v>m2</v>
      </c>
      <c r="E51" s="354">
        <f>E46</f>
        <v>151.28</v>
      </c>
      <c r="F51" s="145"/>
      <c r="G51" s="145"/>
      <c r="H51" s="145"/>
      <c r="I51" s="145"/>
      <c r="J51" s="145"/>
      <c r="K51" s="145"/>
      <c r="L51" s="145"/>
      <c r="M51" s="204"/>
      <c r="N51" s="204"/>
      <c r="O51" s="204"/>
      <c r="P51" s="204"/>
    </row>
    <row r="52" spans="1:16" s="1" customFormat="1" ht="24">
      <c r="A52" s="380">
        <f>A51+1</f>
        <v>33</v>
      </c>
      <c r="B52" s="380" t="s">
        <v>149</v>
      </c>
      <c r="C52" s="381" t="s">
        <v>318</v>
      </c>
      <c r="D52" s="382" t="str">
        <f>D47</f>
        <v>m2</v>
      </c>
      <c r="E52" s="441">
        <f>E47</f>
        <v>151.28</v>
      </c>
      <c r="F52" s="150"/>
      <c r="G52" s="150"/>
      <c r="H52" s="150"/>
      <c r="I52" s="150"/>
      <c r="J52" s="150"/>
      <c r="K52" s="150"/>
      <c r="L52" s="150"/>
      <c r="M52" s="207"/>
      <c r="N52" s="207"/>
      <c r="O52" s="207"/>
      <c r="P52" s="207"/>
    </row>
    <row r="53" spans="1:16" s="1" customFormat="1">
      <c r="A53" s="370"/>
      <c r="B53" s="370"/>
      <c r="C53" s="447" t="s">
        <v>509</v>
      </c>
      <c r="D53" s="430" t="s">
        <v>82</v>
      </c>
      <c r="E53" s="442">
        <f>15.56</f>
        <v>15.56</v>
      </c>
      <c r="F53" s="135"/>
      <c r="G53" s="135"/>
      <c r="H53" s="135"/>
      <c r="I53" s="135"/>
      <c r="J53" s="135"/>
      <c r="K53" s="135"/>
      <c r="L53" s="135"/>
      <c r="M53" s="136"/>
      <c r="N53" s="136"/>
      <c r="O53" s="136"/>
      <c r="P53" s="136"/>
    </row>
    <row r="54" spans="1:16" s="1" customFormat="1">
      <c r="A54" s="385">
        <f>A52+1</f>
        <v>34</v>
      </c>
      <c r="B54" s="385" t="s">
        <v>149</v>
      </c>
      <c r="C54" s="386" t="s">
        <v>508</v>
      </c>
      <c r="D54" s="387" t="str">
        <f>D51</f>
        <v>m2</v>
      </c>
      <c r="E54" s="433">
        <f>E53</f>
        <v>15.56</v>
      </c>
      <c r="F54" s="146"/>
      <c r="G54" s="146"/>
      <c r="H54" s="146"/>
      <c r="I54" s="146"/>
      <c r="J54" s="146"/>
      <c r="K54" s="146"/>
      <c r="L54" s="146"/>
      <c r="M54" s="205"/>
      <c r="N54" s="205"/>
      <c r="O54" s="205"/>
      <c r="P54" s="205"/>
    </row>
    <row r="55" spans="1:16" s="1" customFormat="1" ht="24">
      <c r="A55" s="348">
        <f>A54+1</f>
        <v>35</v>
      </c>
      <c r="B55" s="348" t="s">
        <v>149</v>
      </c>
      <c r="C55" s="377" t="s">
        <v>501</v>
      </c>
      <c r="D55" s="378" t="str">
        <f>D53</f>
        <v>m2</v>
      </c>
      <c r="E55" s="354">
        <f>E53</f>
        <v>15.56</v>
      </c>
      <c r="F55" s="145"/>
      <c r="G55" s="145"/>
      <c r="H55" s="145"/>
      <c r="I55" s="145"/>
      <c r="J55" s="145"/>
      <c r="K55" s="145"/>
      <c r="L55" s="145"/>
      <c r="M55" s="204"/>
      <c r="N55" s="204"/>
      <c r="O55" s="204"/>
      <c r="P55" s="204"/>
    </row>
    <row r="56" spans="1:16" s="1" customFormat="1">
      <c r="A56" s="348">
        <f>A55+1</f>
        <v>36</v>
      </c>
      <c r="B56" s="348" t="s">
        <v>149</v>
      </c>
      <c r="C56" s="377" t="s">
        <v>321</v>
      </c>
      <c r="D56" s="378" t="str">
        <f>D53</f>
        <v>m2</v>
      </c>
      <c r="E56" s="354">
        <f>E53</f>
        <v>15.56</v>
      </c>
      <c r="F56" s="145"/>
      <c r="G56" s="145"/>
      <c r="H56" s="145"/>
      <c r="I56" s="145"/>
      <c r="J56" s="145"/>
      <c r="K56" s="145"/>
      <c r="L56" s="145"/>
      <c r="M56" s="204"/>
      <c r="N56" s="204"/>
      <c r="O56" s="204"/>
      <c r="P56" s="204"/>
    </row>
    <row r="57" spans="1:16" s="1" customFormat="1">
      <c r="A57" s="348">
        <f>A56+1</f>
        <v>37</v>
      </c>
      <c r="B57" s="348" t="s">
        <v>149</v>
      </c>
      <c r="C57" s="377" t="s">
        <v>504</v>
      </c>
      <c r="D57" s="378" t="str">
        <f>D53</f>
        <v>m2</v>
      </c>
      <c r="E57" s="354">
        <f>E53</f>
        <v>15.56</v>
      </c>
      <c r="F57" s="145"/>
      <c r="G57" s="145"/>
      <c r="H57" s="145"/>
      <c r="I57" s="145"/>
      <c r="J57" s="145"/>
      <c r="K57" s="145"/>
      <c r="L57" s="145"/>
      <c r="M57" s="204"/>
      <c r="N57" s="204"/>
      <c r="O57" s="204"/>
      <c r="P57" s="204"/>
    </row>
    <row r="58" spans="1:16" s="1" customFormat="1">
      <c r="A58" s="348">
        <f>A57+1</f>
        <v>38</v>
      </c>
      <c r="B58" s="348" t="s">
        <v>149</v>
      </c>
      <c r="C58" s="377" t="s">
        <v>496</v>
      </c>
      <c r="D58" s="378" t="str">
        <f>D53</f>
        <v>m2</v>
      </c>
      <c r="E58" s="354">
        <f>E53</f>
        <v>15.56</v>
      </c>
      <c r="F58" s="145"/>
      <c r="G58" s="145"/>
      <c r="H58" s="145"/>
      <c r="I58" s="145"/>
      <c r="J58" s="145"/>
      <c r="K58" s="145"/>
      <c r="L58" s="145"/>
      <c r="M58" s="204"/>
      <c r="N58" s="204"/>
      <c r="O58" s="204"/>
      <c r="P58" s="204"/>
    </row>
    <row r="59" spans="1:16" s="1" customFormat="1" ht="24">
      <c r="A59" s="380">
        <f>A58+1</f>
        <v>39</v>
      </c>
      <c r="B59" s="380" t="s">
        <v>149</v>
      </c>
      <c r="C59" s="381" t="s">
        <v>318</v>
      </c>
      <c r="D59" s="382" t="str">
        <f>D54</f>
        <v>m2</v>
      </c>
      <c r="E59" s="441">
        <f>E54</f>
        <v>15.56</v>
      </c>
      <c r="F59" s="150"/>
      <c r="G59" s="150"/>
      <c r="H59" s="150"/>
      <c r="I59" s="150"/>
      <c r="J59" s="150"/>
      <c r="K59" s="150"/>
      <c r="L59" s="150"/>
      <c r="M59" s="207"/>
      <c r="N59" s="207"/>
      <c r="O59" s="207"/>
      <c r="P59" s="207"/>
    </row>
    <row r="60" spans="1:16" s="1" customFormat="1">
      <c r="A60" s="370"/>
      <c r="B60" s="370"/>
      <c r="C60" s="447" t="s">
        <v>510</v>
      </c>
      <c r="D60" s="430" t="s">
        <v>82</v>
      </c>
      <c r="E60" s="442">
        <f>887.15</f>
        <v>887.15</v>
      </c>
      <c r="F60" s="135"/>
      <c r="G60" s="135"/>
      <c r="H60" s="135"/>
      <c r="I60" s="135"/>
      <c r="J60" s="135"/>
      <c r="K60" s="135"/>
      <c r="L60" s="135"/>
      <c r="M60" s="136"/>
      <c r="N60" s="136"/>
      <c r="O60" s="136"/>
      <c r="P60" s="136"/>
    </row>
    <row r="61" spans="1:16" s="1" customFormat="1">
      <c r="A61" s="385">
        <f>A59+1</f>
        <v>40</v>
      </c>
      <c r="B61" s="385" t="s">
        <v>149</v>
      </c>
      <c r="C61" s="386" t="s">
        <v>511</v>
      </c>
      <c r="D61" s="387" t="str">
        <f>D60</f>
        <v>m2</v>
      </c>
      <c r="E61" s="433">
        <f>E60</f>
        <v>887.15</v>
      </c>
      <c r="F61" s="146"/>
      <c r="G61" s="146"/>
      <c r="H61" s="146"/>
      <c r="I61" s="146"/>
      <c r="J61" s="146"/>
      <c r="K61" s="146"/>
      <c r="L61" s="146"/>
      <c r="M61" s="205"/>
      <c r="N61" s="205"/>
      <c r="O61" s="205"/>
      <c r="P61" s="205"/>
    </row>
    <row r="62" spans="1:16" s="1" customFormat="1">
      <c r="A62" s="348">
        <f>A61+1</f>
        <v>41</v>
      </c>
      <c r="B62" s="348" t="s">
        <v>149</v>
      </c>
      <c r="C62" s="377" t="s">
        <v>512</v>
      </c>
      <c r="D62" s="378" t="str">
        <f>D60</f>
        <v>m2</v>
      </c>
      <c r="E62" s="354">
        <f>E60</f>
        <v>887.15</v>
      </c>
      <c r="F62" s="145"/>
      <c r="G62" s="145"/>
      <c r="H62" s="145"/>
      <c r="I62" s="145"/>
      <c r="J62" s="145"/>
      <c r="K62" s="145"/>
      <c r="L62" s="145"/>
      <c r="M62" s="204"/>
      <c r="N62" s="204"/>
      <c r="O62" s="204"/>
      <c r="P62" s="204"/>
    </row>
    <row r="63" spans="1:16" s="1" customFormat="1">
      <c r="A63" s="348">
        <f>A62+1</f>
        <v>42</v>
      </c>
      <c r="B63" s="348" t="s">
        <v>149</v>
      </c>
      <c r="C63" s="377" t="s">
        <v>512</v>
      </c>
      <c r="D63" s="378" t="str">
        <f>D62</f>
        <v>m2</v>
      </c>
      <c r="E63" s="354">
        <f>E62</f>
        <v>887.15</v>
      </c>
      <c r="F63" s="145"/>
      <c r="G63" s="145"/>
      <c r="H63" s="145"/>
      <c r="I63" s="145"/>
      <c r="J63" s="145"/>
      <c r="K63" s="145"/>
      <c r="L63" s="145"/>
      <c r="M63" s="204"/>
      <c r="N63" s="204"/>
      <c r="O63" s="204"/>
      <c r="P63" s="204"/>
    </row>
    <row r="64" spans="1:16" s="1" customFormat="1">
      <c r="A64" s="348">
        <f>A63+1</f>
        <v>43</v>
      </c>
      <c r="B64" s="348" t="s">
        <v>149</v>
      </c>
      <c r="C64" s="377" t="s">
        <v>513</v>
      </c>
      <c r="D64" s="378" t="str">
        <f>D63</f>
        <v>m2</v>
      </c>
      <c r="E64" s="354">
        <f>E63</f>
        <v>887.15</v>
      </c>
      <c r="F64" s="145"/>
      <c r="G64" s="145"/>
      <c r="H64" s="145"/>
      <c r="I64" s="145"/>
      <c r="J64" s="145"/>
      <c r="K64" s="145"/>
      <c r="L64" s="145"/>
      <c r="M64" s="204"/>
      <c r="N64" s="204"/>
      <c r="O64" s="204"/>
      <c r="P64" s="204"/>
    </row>
    <row r="65" spans="1:16" s="1" customFormat="1">
      <c r="A65" s="348">
        <f>A64+1</f>
        <v>44</v>
      </c>
      <c r="B65" s="348" t="s">
        <v>149</v>
      </c>
      <c r="C65" s="377" t="s">
        <v>514</v>
      </c>
      <c r="D65" s="378" t="str">
        <f>D60</f>
        <v>m2</v>
      </c>
      <c r="E65" s="354">
        <f>E60</f>
        <v>887.15</v>
      </c>
      <c r="F65" s="145"/>
      <c r="G65" s="145"/>
      <c r="H65" s="145"/>
      <c r="I65" s="145"/>
      <c r="J65" s="145"/>
      <c r="K65" s="145"/>
      <c r="L65" s="145"/>
      <c r="M65" s="204"/>
      <c r="N65" s="204"/>
      <c r="O65" s="204"/>
      <c r="P65" s="204"/>
    </row>
    <row r="66" spans="1:16" s="1" customFormat="1" ht="24">
      <c r="A66" s="380">
        <f>A65+1</f>
        <v>45</v>
      </c>
      <c r="B66" s="380" t="s">
        <v>149</v>
      </c>
      <c r="C66" s="381" t="s">
        <v>318</v>
      </c>
      <c r="D66" s="382" t="str">
        <f>D61</f>
        <v>m2</v>
      </c>
      <c r="E66" s="441">
        <f>E61</f>
        <v>887.15</v>
      </c>
      <c r="F66" s="150"/>
      <c r="G66" s="150"/>
      <c r="H66" s="150"/>
      <c r="I66" s="150"/>
      <c r="J66" s="150"/>
      <c r="K66" s="150"/>
      <c r="L66" s="150"/>
      <c r="M66" s="207"/>
      <c r="N66" s="207"/>
      <c r="O66" s="207"/>
      <c r="P66" s="207"/>
    </row>
    <row r="67" spans="1:16" s="1" customFormat="1">
      <c r="A67" s="370"/>
      <c r="B67" s="370"/>
      <c r="C67" s="447" t="s">
        <v>515</v>
      </c>
      <c r="D67" s="430" t="s">
        <v>82</v>
      </c>
      <c r="E67" s="442">
        <f>27.18</f>
        <v>27.18</v>
      </c>
      <c r="F67" s="135"/>
      <c r="G67" s="135"/>
      <c r="H67" s="135"/>
      <c r="I67" s="135"/>
      <c r="J67" s="135"/>
      <c r="K67" s="135"/>
      <c r="L67" s="135"/>
      <c r="M67" s="136"/>
      <c r="N67" s="136"/>
      <c r="O67" s="136"/>
      <c r="P67" s="136"/>
    </row>
    <row r="68" spans="1:16" s="1" customFormat="1">
      <c r="A68" s="385">
        <f>A66+1</f>
        <v>46</v>
      </c>
      <c r="B68" s="385" t="s">
        <v>149</v>
      </c>
      <c r="C68" s="386" t="s">
        <v>511</v>
      </c>
      <c r="D68" s="387" t="str">
        <f>D67</f>
        <v>m2</v>
      </c>
      <c r="E68" s="433">
        <f>E67</f>
        <v>27.18</v>
      </c>
      <c r="F68" s="146"/>
      <c r="G68" s="146"/>
      <c r="H68" s="146"/>
      <c r="I68" s="146"/>
      <c r="J68" s="146"/>
      <c r="K68" s="146"/>
      <c r="L68" s="146"/>
      <c r="M68" s="205"/>
      <c r="N68" s="205"/>
      <c r="O68" s="205"/>
      <c r="P68" s="205"/>
    </row>
    <row r="69" spans="1:16" s="1" customFormat="1">
      <c r="A69" s="348">
        <f t="shared" ref="A69:A74" si="0">A68+1</f>
        <v>47</v>
      </c>
      <c r="B69" s="348" t="s">
        <v>149</v>
      </c>
      <c r="C69" s="377" t="s">
        <v>512</v>
      </c>
      <c r="D69" s="378" t="str">
        <f>D67</f>
        <v>m2</v>
      </c>
      <c r="E69" s="354">
        <f>E67</f>
        <v>27.18</v>
      </c>
      <c r="F69" s="145"/>
      <c r="G69" s="145"/>
      <c r="H69" s="145"/>
      <c r="I69" s="145"/>
      <c r="J69" s="145"/>
      <c r="K69" s="145"/>
      <c r="L69" s="145"/>
      <c r="M69" s="204"/>
      <c r="N69" s="204"/>
      <c r="O69" s="204"/>
      <c r="P69" s="204"/>
    </row>
    <row r="70" spans="1:16" s="1" customFormat="1">
      <c r="A70" s="348">
        <f t="shared" si="0"/>
        <v>48</v>
      </c>
      <c r="B70" s="348" t="s">
        <v>149</v>
      </c>
      <c r="C70" s="377" t="s">
        <v>512</v>
      </c>
      <c r="D70" s="378" t="str">
        <f>D69</f>
        <v>m2</v>
      </c>
      <c r="E70" s="354">
        <f>E69</f>
        <v>27.18</v>
      </c>
      <c r="F70" s="145"/>
      <c r="G70" s="145"/>
      <c r="H70" s="145"/>
      <c r="I70" s="145"/>
      <c r="J70" s="145"/>
      <c r="K70" s="145"/>
      <c r="L70" s="145"/>
      <c r="M70" s="204"/>
      <c r="N70" s="204"/>
      <c r="O70" s="204"/>
      <c r="P70" s="204"/>
    </row>
    <row r="71" spans="1:16" s="1" customFormat="1">
      <c r="A71" s="348">
        <f t="shared" si="0"/>
        <v>49</v>
      </c>
      <c r="B71" s="348" t="s">
        <v>149</v>
      </c>
      <c r="C71" s="377" t="s">
        <v>513</v>
      </c>
      <c r="D71" s="378" t="str">
        <f>D70</f>
        <v>m2</v>
      </c>
      <c r="E71" s="354">
        <f>E70</f>
        <v>27.18</v>
      </c>
      <c r="F71" s="145"/>
      <c r="G71" s="145"/>
      <c r="H71" s="145"/>
      <c r="I71" s="145"/>
      <c r="J71" s="145"/>
      <c r="K71" s="145"/>
      <c r="L71" s="145"/>
      <c r="M71" s="204"/>
      <c r="N71" s="204"/>
      <c r="O71" s="204"/>
      <c r="P71" s="204"/>
    </row>
    <row r="72" spans="1:16" s="1" customFormat="1">
      <c r="A72" s="348">
        <f t="shared" si="0"/>
        <v>50</v>
      </c>
      <c r="B72" s="348" t="s">
        <v>149</v>
      </c>
      <c r="C72" s="377" t="s">
        <v>514</v>
      </c>
      <c r="D72" s="378" t="str">
        <f>D67</f>
        <v>m2</v>
      </c>
      <c r="E72" s="354">
        <f>E67</f>
        <v>27.18</v>
      </c>
      <c r="F72" s="145"/>
      <c r="G72" s="145"/>
      <c r="H72" s="145"/>
      <c r="I72" s="145"/>
      <c r="J72" s="145"/>
      <c r="K72" s="145"/>
      <c r="L72" s="145"/>
      <c r="M72" s="204"/>
      <c r="N72" s="204"/>
      <c r="O72" s="204"/>
      <c r="P72" s="204"/>
    </row>
    <row r="73" spans="1:16" s="1" customFormat="1" ht="24">
      <c r="A73" s="348">
        <f t="shared" si="0"/>
        <v>51</v>
      </c>
      <c r="B73" s="348" t="s">
        <v>149</v>
      </c>
      <c r="C73" s="377" t="s">
        <v>505</v>
      </c>
      <c r="D73" s="378" t="str">
        <f>D63</f>
        <v>m2</v>
      </c>
      <c r="E73" s="354">
        <f>E68</f>
        <v>27.18</v>
      </c>
      <c r="F73" s="145"/>
      <c r="G73" s="145"/>
      <c r="H73" s="145"/>
      <c r="I73" s="145"/>
      <c r="J73" s="145"/>
      <c r="K73" s="145"/>
      <c r="L73" s="145"/>
      <c r="M73" s="204"/>
      <c r="N73" s="204"/>
      <c r="O73" s="204"/>
      <c r="P73" s="204"/>
    </row>
    <row r="74" spans="1:16" s="1" customFormat="1" ht="24">
      <c r="A74" s="380">
        <f t="shared" si="0"/>
        <v>52</v>
      </c>
      <c r="B74" s="380" t="s">
        <v>149</v>
      </c>
      <c r="C74" s="381" t="s">
        <v>318</v>
      </c>
      <c r="D74" s="382" t="str">
        <f>D68</f>
        <v>m2</v>
      </c>
      <c r="E74" s="441">
        <f>E68</f>
        <v>27.18</v>
      </c>
      <c r="F74" s="150"/>
      <c r="G74" s="150"/>
      <c r="H74" s="150"/>
      <c r="I74" s="150"/>
      <c r="J74" s="150"/>
      <c r="K74" s="150"/>
      <c r="L74" s="150"/>
      <c r="M74" s="207"/>
      <c r="N74" s="207"/>
      <c r="O74" s="207"/>
      <c r="P74" s="207"/>
    </row>
    <row r="75" spans="1:16" s="1" customFormat="1">
      <c r="A75" s="370"/>
      <c r="B75" s="370"/>
      <c r="C75" s="447" t="s">
        <v>516</v>
      </c>
      <c r="D75" s="430" t="s">
        <v>82</v>
      </c>
      <c r="E75" s="442">
        <f>641</f>
        <v>641</v>
      </c>
      <c r="F75" s="135"/>
      <c r="G75" s="135"/>
      <c r="H75" s="135"/>
      <c r="I75" s="135"/>
      <c r="J75" s="135"/>
      <c r="K75" s="135"/>
      <c r="L75" s="135"/>
      <c r="M75" s="136"/>
      <c r="N75" s="136"/>
      <c r="O75" s="136"/>
      <c r="P75" s="136"/>
    </row>
    <row r="76" spans="1:16" s="1" customFormat="1">
      <c r="A76" s="385">
        <f>A74+1</f>
        <v>53</v>
      </c>
      <c r="B76" s="385" t="s">
        <v>149</v>
      </c>
      <c r="C76" s="386" t="s">
        <v>517</v>
      </c>
      <c r="D76" s="387" t="str">
        <f>D75</f>
        <v>m2</v>
      </c>
      <c r="E76" s="433">
        <f>E75</f>
        <v>641</v>
      </c>
      <c r="F76" s="146"/>
      <c r="G76" s="146"/>
      <c r="H76" s="146"/>
      <c r="I76" s="146"/>
      <c r="J76" s="146"/>
      <c r="K76" s="146"/>
      <c r="L76" s="146"/>
      <c r="M76" s="205"/>
      <c r="N76" s="205"/>
      <c r="O76" s="205"/>
      <c r="P76" s="205"/>
    </row>
    <row r="77" spans="1:16" s="1" customFormat="1">
      <c r="A77" s="348">
        <f>A76+1</f>
        <v>54</v>
      </c>
      <c r="B77" s="348" t="s">
        <v>149</v>
      </c>
      <c r="C77" s="377" t="s">
        <v>518</v>
      </c>
      <c r="D77" s="378" t="str">
        <f>D75</f>
        <v>m2</v>
      </c>
      <c r="E77" s="354">
        <f>E75</f>
        <v>641</v>
      </c>
      <c r="F77" s="145"/>
      <c r="G77" s="145"/>
      <c r="H77" s="145"/>
      <c r="I77" s="145"/>
      <c r="J77" s="145"/>
      <c r="K77" s="145"/>
      <c r="L77" s="145"/>
      <c r="M77" s="204"/>
      <c r="N77" s="204"/>
      <c r="O77" s="204"/>
      <c r="P77" s="204"/>
    </row>
    <row r="78" spans="1:16" s="1" customFormat="1">
      <c r="A78" s="348">
        <f>A77+1</f>
        <v>55</v>
      </c>
      <c r="B78" s="348" t="s">
        <v>149</v>
      </c>
      <c r="C78" s="377" t="s">
        <v>519</v>
      </c>
      <c r="D78" s="378" t="str">
        <f>D77</f>
        <v>m2</v>
      </c>
      <c r="E78" s="354">
        <f>E77</f>
        <v>641</v>
      </c>
      <c r="F78" s="145"/>
      <c r="G78" s="145"/>
      <c r="H78" s="145"/>
      <c r="I78" s="145"/>
      <c r="J78" s="145"/>
      <c r="K78" s="145"/>
      <c r="L78" s="145"/>
      <c r="M78" s="204"/>
      <c r="N78" s="204"/>
      <c r="O78" s="204"/>
      <c r="P78" s="204"/>
    </row>
    <row r="79" spans="1:16" s="1" customFormat="1">
      <c r="A79" s="348">
        <f>A78+1</f>
        <v>56</v>
      </c>
      <c r="B79" s="348" t="s">
        <v>149</v>
      </c>
      <c r="C79" s="377" t="s">
        <v>520</v>
      </c>
      <c r="D79" s="378" t="str">
        <f>D78</f>
        <v>m2</v>
      </c>
      <c r="E79" s="354">
        <f>E78</f>
        <v>641</v>
      </c>
      <c r="F79" s="145"/>
      <c r="G79" s="145"/>
      <c r="H79" s="145"/>
      <c r="I79" s="145"/>
      <c r="J79" s="145"/>
      <c r="K79" s="145"/>
      <c r="L79" s="145"/>
      <c r="M79" s="204"/>
      <c r="N79" s="204"/>
      <c r="O79" s="204"/>
      <c r="P79" s="204"/>
    </row>
    <row r="80" spans="1:16" s="1" customFormat="1" ht="24">
      <c r="A80" s="380">
        <f>A79+1</f>
        <v>57</v>
      </c>
      <c r="B80" s="380" t="s">
        <v>149</v>
      </c>
      <c r="C80" s="381" t="s">
        <v>318</v>
      </c>
      <c r="D80" s="382" t="str">
        <f>D74</f>
        <v>m2</v>
      </c>
      <c r="E80" s="441">
        <f>E76</f>
        <v>641</v>
      </c>
      <c r="F80" s="150"/>
      <c r="G80" s="150"/>
      <c r="H80" s="150"/>
      <c r="I80" s="150"/>
      <c r="J80" s="150"/>
      <c r="K80" s="150"/>
      <c r="L80" s="150"/>
      <c r="M80" s="207"/>
      <c r="N80" s="207"/>
      <c r="O80" s="207"/>
      <c r="P80" s="207"/>
    </row>
    <row r="81" spans="1:16" s="1" customFormat="1">
      <c r="A81" s="370"/>
      <c r="B81" s="370"/>
      <c r="C81" s="447" t="s">
        <v>521</v>
      </c>
      <c r="D81" s="430" t="s">
        <v>82</v>
      </c>
      <c r="E81" s="442">
        <f>65.28</f>
        <v>65.28</v>
      </c>
      <c r="F81" s="135"/>
      <c r="G81" s="135"/>
      <c r="H81" s="135"/>
      <c r="I81" s="135"/>
      <c r="J81" s="135"/>
      <c r="K81" s="135"/>
      <c r="L81" s="135"/>
      <c r="M81" s="136"/>
      <c r="N81" s="136"/>
      <c r="O81" s="136"/>
      <c r="P81" s="136"/>
    </row>
    <row r="82" spans="1:16" s="1" customFormat="1">
      <c r="A82" s="385">
        <f>A80+1</f>
        <v>58</v>
      </c>
      <c r="B82" s="385" t="s">
        <v>149</v>
      </c>
      <c r="C82" s="386" t="s">
        <v>227</v>
      </c>
      <c r="D82" s="387" t="s">
        <v>82</v>
      </c>
      <c r="E82" s="433">
        <f>E81</f>
        <v>65.28</v>
      </c>
      <c r="F82" s="146"/>
      <c r="G82" s="146"/>
      <c r="H82" s="146"/>
      <c r="I82" s="146"/>
      <c r="J82" s="146"/>
      <c r="K82" s="146"/>
      <c r="L82" s="146"/>
      <c r="M82" s="205"/>
      <c r="N82" s="205"/>
      <c r="O82" s="205"/>
      <c r="P82" s="205"/>
    </row>
    <row r="83" spans="1:16" s="1" customFormat="1" ht="24">
      <c r="A83" s="348">
        <f>A82+1</f>
        <v>59</v>
      </c>
      <c r="B83" s="348" t="s">
        <v>149</v>
      </c>
      <c r="C83" s="377" t="s">
        <v>494</v>
      </c>
      <c r="D83" s="378" t="str">
        <f>D82</f>
        <v>m2</v>
      </c>
      <c r="E83" s="354">
        <f>E82</f>
        <v>65.28</v>
      </c>
      <c r="F83" s="145"/>
      <c r="G83" s="145"/>
      <c r="H83" s="145"/>
      <c r="I83" s="145"/>
      <c r="J83" s="145"/>
      <c r="K83" s="145"/>
      <c r="L83" s="145"/>
      <c r="M83" s="204"/>
      <c r="N83" s="204"/>
      <c r="O83" s="204"/>
      <c r="P83" s="204"/>
    </row>
    <row r="84" spans="1:16" s="1" customFormat="1">
      <c r="A84" s="348">
        <f>A83+1</f>
        <v>60</v>
      </c>
      <c r="B84" s="348" t="s">
        <v>149</v>
      </c>
      <c r="C84" s="377" t="s">
        <v>495</v>
      </c>
      <c r="D84" s="378" t="str">
        <f>D82</f>
        <v>m2</v>
      </c>
      <c r="E84" s="354">
        <f>E82</f>
        <v>65.28</v>
      </c>
      <c r="F84" s="145"/>
      <c r="G84" s="145"/>
      <c r="H84" s="145"/>
      <c r="I84" s="145"/>
      <c r="J84" s="145"/>
      <c r="K84" s="145"/>
      <c r="L84" s="145"/>
      <c r="M84" s="204"/>
      <c r="N84" s="204"/>
      <c r="O84" s="204"/>
      <c r="P84" s="204"/>
    </row>
    <row r="85" spans="1:16" s="1" customFormat="1">
      <c r="A85" s="380">
        <f>A84+1</f>
        <v>61</v>
      </c>
      <c r="B85" s="380" t="s">
        <v>149</v>
      </c>
      <c r="C85" s="381" t="s">
        <v>496</v>
      </c>
      <c r="D85" s="382" t="str">
        <f>D82</f>
        <v>m2</v>
      </c>
      <c r="E85" s="441">
        <f>E82</f>
        <v>65.28</v>
      </c>
      <c r="F85" s="150"/>
      <c r="G85" s="150"/>
      <c r="H85" s="150"/>
      <c r="I85" s="150"/>
      <c r="J85" s="150"/>
      <c r="K85" s="150"/>
      <c r="L85" s="150"/>
      <c r="M85" s="207"/>
      <c r="N85" s="207"/>
      <c r="O85" s="207"/>
      <c r="P85" s="207"/>
    </row>
    <row r="86" spans="1:16" s="1" customFormat="1">
      <c r="A86" s="370"/>
      <c r="B86" s="370"/>
      <c r="C86" s="447" t="s">
        <v>522</v>
      </c>
      <c r="D86" s="430" t="s">
        <v>82</v>
      </c>
      <c r="E86" s="442">
        <f>26.56</f>
        <v>26.56</v>
      </c>
      <c r="F86" s="135"/>
      <c r="G86" s="135"/>
      <c r="H86" s="135"/>
      <c r="I86" s="135"/>
      <c r="J86" s="135"/>
      <c r="K86" s="135"/>
      <c r="L86" s="135"/>
      <c r="M86" s="136"/>
      <c r="N86" s="136"/>
      <c r="O86" s="136"/>
      <c r="P86" s="136"/>
    </row>
    <row r="87" spans="1:16" s="1" customFormat="1">
      <c r="A87" s="385">
        <f>A85+1</f>
        <v>62</v>
      </c>
      <c r="B87" s="385" t="s">
        <v>149</v>
      </c>
      <c r="C87" s="386" t="s">
        <v>523</v>
      </c>
      <c r="D87" s="387" t="s">
        <v>82</v>
      </c>
      <c r="E87" s="433">
        <f>E86</f>
        <v>26.56</v>
      </c>
      <c r="F87" s="146"/>
      <c r="G87" s="146"/>
      <c r="H87" s="146"/>
      <c r="I87" s="146"/>
      <c r="J87" s="146"/>
      <c r="K87" s="146"/>
      <c r="L87" s="146"/>
      <c r="M87" s="205"/>
      <c r="N87" s="205"/>
      <c r="O87" s="205"/>
      <c r="P87" s="205"/>
    </row>
    <row r="88" spans="1:16" s="1" customFormat="1" ht="24">
      <c r="A88" s="348">
        <f>A87+1</f>
        <v>63</v>
      </c>
      <c r="B88" s="348" t="s">
        <v>149</v>
      </c>
      <c r="C88" s="377" t="s">
        <v>505</v>
      </c>
      <c r="D88" s="378" t="str">
        <f>D78</f>
        <v>m2</v>
      </c>
      <c r="E88" s="354">
        <f>E87</f>
        <v>26.56</v>
      </c>
      <c r="F88" s="145"/>
      <c r="G88" s="145"/>
      <c r="H88" s="145"/>
      <c r="I88" s="145"/>
      <c r="J88" s="145"/>
      <c r="K88" s="145"/>
      <c r="L88" s="145"/>
      <c r="M88" s="204"/>
      <c r="N88" s="204"/>
      <c r="O88" s="204"/>
      <c r="P88" s="204"/>
    </row>
    <row r="89" spans="1:16" s="1" customFormat="1" ht="24">
      <c r="A89" s="380">
        <f>A88+1</f>
        <v>64</v>
      </c>
      <c r="B89" s="380" t="s">
        <v>149</v>
      </c>
      <c r="C89" s="381" t="s">
        <v>494</v>
      </c>
      <c r="D89" s="382" t="str">
        <f>D87</f>
        <v>m2</v>
      </c>
      <c r="E89" s="441">
        <f>E87</f>
        <v>26.56</v>
      </c>
      <c r="F89" s="150"/>
      <c r="G89" s="150"/>
      <c r="H89" s="150"/>
      <c r="I89" s="150"/>
      <c r="J89" s="150"/>
      <c r="K89" s="150"/>
      <c r="L89" s="150"/>
      <c r="M89" s="207"/>
      <c r="N89" s="207"/>
      <c r="O89" s="207"/>
      <c r="P89" s="207"/>
    </row>
    <row r="90" spans="1:16" s="1" customFormat="1">
      <c r="A90" s="370"/>
      <c r="B90" s="370"/>
      <c r="C90" s="447" t="s">
        <v>524</v>
      </c>
      <c r="D90" s="430" t="s">
        <v>82</v>
      </c>
      <c r="E90" s="442">
        <f>7.75</f>
        <v>7.75</v>
      </c>
      <c r="F90" s="135"/>
      <c r="G90" s="135"/>
      <c r="H90" s="135"/>
      <c r="I90" s="135"/>
      <c r="J90" s="135"/>
      <c r="K90" s="135"/>
      <c r="L90" s="135"/>
      <c r="M90" s="136"/>
      <c r="N90" s="136"/>
      <c r="O90" s="136"/>
      <c r="P90" s="136"/>
    </row>
    <row r="91" spans="1:16" s="1" customFormat="1">
      <c r="A91" s="385">
        <f>A89+1</f>
        <v>65</v>
      </c>
      <c r="B91" s="385" t="s">
        <v>149</v>
      </c>
      <c r="C91" s="386" t="s">
        <v>493</v>
      </c>
      <c r="D91" s="387" t="s">
        <v>82</v>
      </c>
      <c r="E91" s="433">
        <f>E90</f>
        <v>7.75</v>
      </c>
      <c r="F91" s="146"/>
      <c r="G91" s="146"/>
      <c r="H91" s="146"/>
      <c r="I91" s="146"/>
      <c r="J91" s="146"/>
      <c r="K91" s="146"/>
      <c r="L91" s="146"/>
      <c r="M91" s="205"/>
      <c r="N91" s="205"/>
      <c r="O91" s="205"/>
      <c r="P91" s="205"/>
    </row>
    <row r="92" spans="1:16" s="1" customFormat="1" ht="24">
      <c r="A92" s="380">
        <f>A91+1</f>
        <v>66</v>
      </c>
      <c r="B92" s="380" t="s">
        <v>149</v>
      </c>
      <c r="C92" s="381" t="s">
        <v>525</v>
      </c>
      <c r="D92" s="382" t="str">
        <f>D82</f>
        <v>m2</v>
      </c>
      <c r="E92" s="441">
        <f>E91</f>
        <v>7.75</v>
      </c>
      <c r="F92" s="150"/>
      <c r="G92" s="150"/>
      <c r="H92" s="150"/>
      <c r="I92" s="150"/>
      <c r="J92" s="150"/>
      <c r="K92" s="150"/>
      <c r="L92" s="150"/>
      <c r="M92" s="207"/>
      <c r="N92" s="207"/>
      <c r="O92" s="207"/>
      <c r="P92" s="207"/>
    </row>
    <row r="93" spans="1:16" s="1" customFormat="1">
      <c r="A93" s="370"/>
      <c r="B93" s="370"/>
      <c r="C93" s="447" t="s">
        <v>526</v>
      </c>
      <c r="D93" s="430" t="s">
        <v>82</v>
      </c>
      <c r="E93" s="442">
        <f>10.56</f>
        <v>10.56</v>
      </c>
      <c r="F93" s="135"/>
      <c r="G93" s="135"/>
      <c r="H93" s="135"/>
      <c r="I93" s="135"/>
      <c r="J93" s="135"/>
      <c r="K93" s="135"/>
      <c r="L93" s="135"/>
      <c r="M93" s="136"/>
      <c r="N93" s="136"/>
      <c r="O93" s="136"/>
      <c r="P93" s="136"/>
    </row>
    <row r="94" spans="1:16" s="1" customFormat="1">
      <c r="A94" s="385">
        <f>A92+1</f>
        <v>67</v>
      </c>
      <c r="B94" s="385" t="s">
        <v>149</v>
      </c>
      <c r="C94" s="386" t="s">
        <v>491</v>
      </c>
      <c r="D94" s="387" t="str">
        <f>D93</f>
        <v>m2</v>
      </c>
      <c r="E94" s="433">
        <f>E93</f>
        <v>10.56</v>
      </c>
      <c r="F94" s="146"/>
      <c r="G94" s="146"/>
      <c r="H94" s="146"/>
      <c r="I94" s="146"/>
      <c r="J94" s="146"/>
      <c r="K94" s="146"/>
      <c r="L94" s="146"/>
      <c r="M94" s="205"/>
      <c r="N94" s="205"/>
      <c r="O94" s="205"/>
      <c r="P94" s="205"/>
    </row>
    <row r="95" spans="1:16" s="1" customFormat="1" ht="24">
      <c r="A95" s="348">
        <f>A94+1</f>
        <v>68</v>
      </c>
      <c r="B95" s="348" t="s">
        <v>149</v>
      </c>
      <c r="C95" s="377" t="s">
        <v>494</v>
      </c>
      <c r="D95" s="378" t="str">
        <f>D93</f>
        <v>m2</v>
      </c>
      <c r="E95" s="354">
        <f>E93</f>
        <v>10.56</v>
      </c>
      <c r="F95" s="145"/>
      <c r="G95" s="145"/>
      <c r="H95" s="145"/>
      <c r="I95" s="145"/>
      <c r="J95" s="145"/>
      <c r="K95" s="145"/>
      <c r="L95" s="145"/>
      <c r="M95" s="204"/>
      <c r="N95" s="204"/>
      <c r="O95" s="204"/>
      <c r="P95" s="204"/>
    </row>
    <row r="96" spans="1:16" s="1" customFormat="1">
      <c r="A96" s="348">
        <f>A95+1</f>
        <v>69</v>
      </c>
      <c r="B96" s="348" t="s">
        <v>149</v>
      </c>
      <c r="C96" s="377" t="s">
        <v>523</v>
      </c>
      <c r="D96" s="378" t="s">
        <v>82</v>
      </c>
      <c r="E96" s="354">
        <f>E91</f>
        <v>7.75</v>
      </c>
      <c r="F96" s="145"/>
      <c r="G96" s="145"/>
      <c r="H96" s="145"/>
      <c r="I96" s="145"/>
      <c r="J96" s="145"/>
      <c r="K96" s="145"/>
      <c r="L96" s="145"/>
      <c r="M96" s="204"/>
      <c r="N96" s="204"/>
      <c r="O96" s="204"/>
      <c r="P96" s="204"/>
    </row>
    <row r="97" spans="1:16" s="1" customFormat="1" ht="24">
      <c r="A97" s="348">
        <f>A96+1</f>
        <v>70</v>
      </c>
      <c r="B97" s="348" t="s">
        <v>149</v>
      </c>
      <c r="C97" s="377" t="s">
        <v>505</v>
      </c>
      <c r="D97" s="378" t="str">
        <f>D83</f>
        <v>m2</v>
      </c>
      <c r="E97" s="354">
        <f>E96</f>
        <v>7.75</v>
      </c>
      <c r="F97" s="145"/>
      <c r="G97" s="145"/>
      <c r="H97" s="145"/>
      <c r="I97" s="145"/>
      <c r="J97" s="145"/>
      <c r="K97" s="145"/>
      <c r="L97" s="145"/>
      <c r="M97" s="204"/>
      <c r="N97" s="204"/>
      <c r="O97" s="204"/>
      <c r="P97" s="204"/>
    </row>
    <row r="98" spans="1:16" s="1" customFormat="1">
      <c r="A98" s="348">
        <f>A97+1</f>
        <v>71</v>
      </c>
      <c r="B98" s="348" t="s">
        <v>149</v>
      </c>
      <c r="C98" s="377" t="s">
        <v>523</v>
      </c>
      <c r="D98" s="378" t="s">
        <v>82</v>
      </c>
      <c r="E98" s="354">
        <f>E93</f>
        <v>10.56</v>
      </c>
      <c r="F98" s="145"/>
      <c r="G98" s="145"/>
      <c r="H98" s="145"/>
      <c r="I98" s="145"/>
      <c r="J98" s="145"/>
      <c r="K98" s="145"/>
      <c r="L98" s="145"/>
      <c r="M98" s="204"/>
      <c r="N98" s="204"/>
      <c r="O98" s="204"/>
      <c r="P98" s="204"/>
    </row>
    <row r="99" spans="1:16" s="1" customFormat="1" ht="24">
      <c r="A99" s="380">
        <f>A98+1</f>
        <v>72</v>
      </c>
      <c r="B99" s="380" t="s">
        <v>149</v>
      </c>
      <c r="C99" s="381" t="s">
        <v>505</v>
      </c>
      <c r="D99" s="382" t="str">
        <f>D85</f>
        <v>m2</v>
      </c>
      <c r="E99" s="441">
        <f>E98</f>
        <v>10.56</v>
      </c>
      <c r="F99" s="150"/>
      <c r="G99" s="150"/>
      <c r="H99" s="150"/>
      <c r="I99" s="150"/>
      <c r="J99" s="150"/>
      <c r="K99" s="150"/>
      <c r="L99" s="150"/>
      <c r="M99" s="207"/>
      <c r="N99" s="207"/>
      <c r="O99" s="207"/>
      <c r="P99" s="207"/>
    </row>
    <row r="100" spans="1:16" s="1" customFormat="1">
      <c r="A100" s="370"/>
      <c r="B100" s="370"/>
      <c r="C100" s="447" t="s">
        <v>527</v>
      </c>
      <c r="D100" s="430" t="s">
        <v>82</v>
      </c>
      <c r="E100" s="442">
        <f>60.62</f>
        <v>60.62</v>
      </c>
      <c r="F100" s="135"/>
      <c r="G100" s="135"/>
      <c r="H100" s="135"/>
      <c r="I100" s="135"/>
      <c r="J100" s="135"/>
      <c r="K100" s="135"/>
      <c r="L100" s="135"/>
      <c r="M100" s="136"/>
      <c r="N100" s="136"/>
      <c r="O100" s="136"/>
      <c r="P100" s="136"/>
    </row>
    <row r="101" spans="1:16" s="1" customFormat="1">
      <c r="A101" s="385">
        <f>A99+1</f>
        <v>73</v>
      </c>
      <c r="B101" s="385" t="s">
        <v>149</v>
      </c>
      <c r="C101" s="386" t="s">
        <v>493</v>
      </c>
      <c r="D101" s="387" t="s">
        <v>82</v>
      </c>
      <c r="E101" s="433">
        <f>E100</f>
        <v>60.62</v>
      </c>
      <c r="F101" s="146"/>
      <c r="G101" s="146"/>
      <c r="H101" s="146"/>
      <c r="I101" s="146"/>
      <c r="J101" s="146"/>
      <c r="K101" s="146"/>
      <c r="L101" s="146"/>
      <c r="M101" s="205"/>
      <c r="N101" s="205"/>
      <c r="O101" s="205"/>
      <c r="P101" s="205"/>
    </row>
    <row r="102" spans="1:16" s="1" customFormat="1">
      <c r="A102" s="348">
        <f>A101+1</f>
        <v>74</v>
      </c>
      <c r="B102" s="348" t="s">
        <v>149</v>
      </c>
      <c r="C102" s="377" t="s">
        <v>528</v>
      </c>
      <c r="D102" s="378" t="str">
        <f>D92</f>
        <v>m2</v>
      </c>
      <c r="E102" s="354">
        <f>E101</f>
        <v>60.62</v>
      </c>
      <c r="F102" s="145"/>
      <c r="G102" s="145"/>
      <c r="H102" s="145"/>
      <c r="I102" s="145"/>
      <c r="J102" s="145"/>
      <c r="K102" s="145"/>
      <c r="L102" s="145"/>
      <c r="M102" s="204"/>
      <c r="N102" s="204"/>
      <c r="O102" s="204"/>
      <c r="P102" s="204"/>
    </row>
    <row r="103" spans="1:16" s="1" customFormat="1">
      <c r="A103" s="348">
        <f>A102+1</f>
        <v>75</v>
      </c>
      <c r="B103" s="348" t="s">
        <v>149</v>
      </c>
      <c r="C103" s="377" t="s">
        <v>529</v>
      </c>
      <c r="D103" s="378" t="str">
        <f>D102</f>
        <v>m2</v>
      </c>
      <c r="E103" s="354">
        <f>E102</f>
        <v>60.62</v>
      </c>
      <c r="F103" s="145"/>
      <c r="G103" s="145"/>
      <c r="H103" s="145"/>
      <c r="I103" s="145"/>
      <c r="J103" s="145"/>
      <c r="K103" s="145"/>
      <c r="L103" s="145"/>
      <c r="M103" s="204"/>
      <c r="N103" s="204"/>
      <c r="O103" s="204"/>
      <c r="P103" s="204"/>
    </row>
    <row r="104" spans="1:16" s="1" customFormat="1" ht="24">
      <c r="A104" s="380">
        <f>A103+1</f>
        <v>76</v>
      </c>
      <c r="B104" s="380" t="s">
        <v>149</v>
      </c>
      <c r="C104" s="381" t="s">
        <v>318</v>
      </c>
      <c r="D104" s="382" t="str">
        <f>D98</f>
        <v>m2</v>
      </c>
      <c r="E104" s="441">
        <f>E100</f>
        <v>60.62</v>
      </c>
      <c r="F104" s="150"/>
      <c r="G104" s="150"/>
      <c r="H104" s="150"/>
      <c r="I104" s="150"/>
      <c r="J104" s="150"/>
      <c r="K104" s="150"/>
      <c r="L104" s="150"/>
      <c r="M104" s="207"/>
      <c r="N104" s="207"/>
      <c r="O104" s="207"/>
      <c r="P104" s="207"/>
    </row>
    <row r="105" spans="1:16" s="1" customFormat="1">
      <c r="A105" s="370"/>
      <c r="B105" s="370"/>
      <c r="C105" s="447" t="s">
        <v>530</v>
      </c>
      <c r="D105" s="430" t="s">
        <v>82</v>
      </c>
      <c r="E105" s="442">
        <f>16.79</f>
        <v>16.79</v>
      </c>
      <c r="F105" s="135"/>
      <c r="G105" s="135"/>
      <c r="H105" s="135"/>
      <c r="I105" s="135"/>
      <c r="J105" s="135"/>
      <c r="K105" s="135"/>
      <c r="L105" s="135"/>
      <c r="M105" s="136"/>
      <c r="N105" s="136"/>
      <c r="O105" s="136"/>
      <c r="P105" s="136"/>
    </row>
    <row r="106" spans="1:16" s="1" customFormat="1">
      <c r="A106" s="385">
        <f>A104+1</f>
        <v>77</v>
      </c>
      <c r="B106" s="385" t="s">
        <v>149</v>
      </c>
      <c r="C106" s="386" t="s">
        <v>511</v>
      </c>
      <c r="D106" s="387" t="str">
        <f>D105</f>
        <v>m2</v>
      </c>
      <c r="E106" s="433">
        <f>E105</f>
        <v>16.79</v>
      </c>
      <c r="F106" s="146"/>
      <c r="G106" s="146"/>
      <c r="H106" s="146"/>
      <c r="I106" s="146"/>
      <c r="J106" s="146"/>
      <c r="K106" s="146"/>
      <c r="L106" s="146"/>
      <c r="M106" s="205"/>
      <c r="N106" s="205"/>
      <c r="O106" s="205"/>
      <c r="P106" s="205"/>
    </row>
    <row r="107" spans="1:16" s="1" customFormat="1">
      <c r="A107" s="348">
        <f t="shared" ref="A107:A112" si="1">A106+1</f>
        <v>78</v>
      </c>
      <c r="B107" s="348" t="s">
        <v>149</v>
      </c>
      <c r="C107" s="377" t="s">
        <v>512</v>
      </c>
      <c r="D107" s="378" t="str">
        <f>D105</f>
        <v>m2</v>
      </c>
      <c r="E107" s="354">
        <f>E105</f>
        <v>16.79</v>
      </c>
      <c r="F107" s="145"/>
      <c r="G107" s="145"/>
      <c r="H107" s="145"/>
      <c r="I107" s="145"/>
      <c r="J107" s="145"/>
      <c r="K107" s="145"/>
      <c r="L107" s="145"/>
      <c r="M107" s="204"/>
      <c r="N107" s="204"/>
      <c r="O107" s="204"/>
      <c r="P107" s="204"/>
    </row>
    <row r="108" spans="1:16" s="1" customFormat="1">
      <c r="A108" s="348">
        <f t="shared" si="1"/>
        <v>79</v>
      </c>
      <c r="B108" s="348" t="s">
        <v>149</v>
      </c>
      <c r="C108" s="377" t="s">
        <v>512</v>
      </c>
      <c r="D108" s="378" t="str">
        <f>D107</f>
        <v>m2</v>
      </c>
      <c r="E108" s="354">
        <f>E107</f>
        <v>16.79</v>
      </c>
      <c r="F108" s="145"/>
      <c r="G108" s="145"/>
      <c r="H108" s="145"/>
      <c r="I108" s="145"/>
      <c r="J108" s="145"/>
      <c r="K108" s="145"/>
      <c r="L108" s="145"/>
      <c r="M108" s="204"/>
      <c r="N108" s="204"/>
      <c r="O108" s="204"/>
      <c r="P108" s="204"/>
    </row>
    <row r="109" spans="1:16" s="1" customFormat="1">
      <c r="A109" s="348">
        <f t="shared" si="1"/>
        <v>80</v>
      </c>
      <c r="B109" s="348" t="s">
        <v>149</v>
      </c>
      <c r="C109" s="377" t="s">
        <v>513</v>
      </c>
      <c r="D109" s="378" t="str">
        <f>D108</f>
        <v>m2</v>
      </c>
      <c r="E109" s="354">
        <f>E108</f>
        <v>16.79</v>
      </c>
      <c r="F109" s="145"/>
      <c r="G109" s="145"/>
      <c r="H109" s="145"/>
      <c r="I109" s="145"/>
      <c r="J109" s="145"/>
      <c r="K109" s="145"/>
      <c r="L109" s="145"/>
      <c r="M109" s="204"/>
      <c r="N109" s="204"/>
      <c r="O109" s="204"/>
      <c r="P109" s="204"/>
    </row>
    <row r="110" spans="1:16" s="1" customFormat="1">
      <c r="A110" s="348">
        <f t="shared" si="1"/>
        <v>81</v>
      </c>
      <c r="B110" s="348" t="s">
        <v>149</v>
      </c>
      <c r="C110" s="377" t="s">
        <v>514</v>
      </c>
      <c r="D110" s="378" t="str">
        <f>D105</f>
        <v>m2</v>
      </c>
      <c r="E110" s="354">
        <f>E105</f>
        <v>16.79</v>
      </c>
      <c r="F110" s="145"/>
      <c r="G110" s="145"/>
      <c r="H110" s="145"/>
      <c r="I110" s="145"/>
      <c r="J110" s="145"/>
      <c r="K110" s="145"/>
      <c r="L110" s="145"/>
      <c r="M110" s="204"/>
      <c r="N110" s="204"/>
      <c r="O110" s="204"/>
      <c r="P110" s="204"/>
    </row>
    <row r="111" spans="1:16" s="1" customFormat="1" ht="24">
      <c r="A111" s="348">
        <f t="shared" si="1"/>
        <v>82</v>
      </c>
      <c r="B111" s="348" t="s">
        <v>149</v>
      </c>
      <c r="C111" s="377" t="s">
        <v>505</v>
      </c>
      <c r="D111" s="378" t="str">
        <f>D101</f>
        <v>m2</v>
      </c>
      <c r="E111" s="354">
        <f>E106</f>
        <v>16.79</v>
      </c>
      <c r="F111" s="145"/>
      <c r="G111" s="145"/>
      <c r="H111" s="145"/>
      <c r="I111" s="145"/>
      <c r="J111" s="145"/>
      <c r="K111" s="145"/>
      <c r="L111" s="145"/>
      <c r="M111" s="204"/>
      <c r="N111" s="204"/>
      <c r="O111" s="204"/>
      <c r="P111" s="204"/>
    </row>
    <row r="112" spans="1:16" s="1" customFormat="1" ht="24">
      <c r="A112" s="380">
        <f t="shared" si="1"/>
        <v>83</v>
      </c>
      <c r="B112" s="380" t="s">
        <v>149</v>
      </c>
      <c r="C112" s="381" t="s">
        <v>318</v>
      </c>
      <c r="D112" s="382" t="str">
        <f>D106</f>
        <v>m2</v>
      </c>
      <c r="E112" s="441">
        <f>E106</f>
        <v>16.79</v>
      </c>
      <c r="F112" s="150"/>
      <c r="G112" s="150"/>
      <c r="H112" s="150"/>
      <c r="I112" s="150"/>
      <c r="J112" s="150"/>
      <c r="K112" s="150"/>
      <c r="L112" s="150"/>
      <c r="M112" s="207"/>
      <c r="N112" s="207"/>
      <c r="O112" s="207"/>
      <c r="P112" s="207"/>
    </row>
    <row r="113" spans="1:16" s="1" customFormat="1">
      <c r="A113" s="370"/>
      <c r="B113" s="370"/>
      <c r="C113" s="447" t="s">
        <v>531</v>
      </c>
      <c r="D113" s="500"/>
      <c r="E113" s="439"/>
      <c r="F113" s="135"/>
      <c r="G113" s="135"/>
      <c r="H113" s="135"/>
      <c r="I113" s="135"/>
      <c r="J113" s="135"/>
      <c r="K113" s="135"/>
      <c r="L113" s="135"/>
      <c r="M113" s="136"/>
      <c r="N113" s="136"/>
      <c r="O113" s="136"/>
      <c r="P113" s="136"/>
    </row>
    <row r="114" spans="1:16" s="1" customFormat="1" ht="24">
      <c r="A114" s="366">
        <v>84</v>
      </c>
      <c r="B114" s="366" t="s">
        <v>149</v>
      </c>
      <c r="C114" s="436" t="s">
        <v>532</v>
      </c>
      <c r="D114" s="495" t="s">
        <v>82</v>
      </c>
      <c r="E114" s="438">
        <v>23</v>
      </c>
      <c r="F114" s="146"/>
      <c r="G114" s="146"/>
      <c r="H114" s="146"/>
      <c r="I114" s="146"/>
      <c r="J114" s="146"/>
      <c r="K114" s="146"/>
      <c r="L114" s="146"/>
      <c r="M114" s="205"/>
      <c r="N114" s="205"/>
      <c r="O114" s="205"/>
      <c r="P114" s="205"/>
    </row>
    <row r="115" spans="1:16">
      <c r="A115" s="890" t="s">
        <v>177</v>
      </c>
      <c r="B115" s="890"/>
      <c r="C115" s="890"/>
      <c r="D115" s="890"/>
      <c r="E115" s="890"/>
      <c r="F115" s="890"/>
      <c r="G115" s="890"/>
      <c r="H115" s="890"/>
      <c r="I115" s="890"/>
      <c r="J115" s="890"/>
      <c r="K115" s="890"/>
      <c r="L115" s="131">
        <f>SUM(L15:L114)</f>
        <v>0</v>
      </c>
      <c r="M115" s="131">
        <f t="shared" ref="M115:P115" si="2">SUM(M15:M114)</f>
        <v>0</v>
      </c>
      <c r="N115" s="131">
        <f t="shared" si="2"/>
        <v>0</v>
      </c>
      <c r="O115" s="131">
        <f t="shared" si="2"/>
        <v>0</v>
      </c>
      <c r="P115" s="131">
        <f t="shared" si="2"/>
        <v>0</v>
      </c>
    </row>
    <row r="116" spans="1:16" s="50" customFormat="1" collapsed="1">
      <c r="A116" s="885" t="s">
        <v>36</v>
      </c>
      <c r="B116" s="885"/>
      <c r="C116" s="1"/>
      <c r="D116" s="1"/>
      <c r="E116" s="98"/>
      <c r="F116" s="1"/>
      <c r="G116" s="1"/>
      <c r="H116" s="1"/>
      <c r="I116" s="1"/>
      <c r="J116" s="1"/>
      <c r="K116" s="1"/>
      <c r="L116" s="1"/>
      <c r="M116" s="1"/>
      <c r="N116" s="1"/>
      <c r="O116" s="1"/>
      <c r="P116" s="1"/>
    </row>
    <row r="117" spans="1:16" s="1" customFormat="1" ht="12.75" customHeight="1">
      <c r="A117" s="886" t="s">
        <v>56</v>
      </c>
      <c r="B117" s="886"/>
      <c r="C117" s="886"/>
      <c r="D117" s="886"/>
      <c r="E117" s="886"/>
      <c r="F117" s="886"/>
      <c r="G117" s="886"/>
      <c r="H117" s="886"/>
      <c r="I117" s="886"/>
      <c r="J117" s="886"/>
      <c r="K117" s="886"/>
      <c r="L117" s="886"/>
      <c r="M117" s="886"/>
      <c r="N117" s="886"/>
      <c r="O117" s="886"/>
      <c r="P117" s="886"/>
    </row>
    <row r="118" spans="1:16" s="1" customFormat="1" ht="12.75" customHeight="1">
      <c r="A118" s="910"/>
      <c r="B118" s="910"/>
      <c r="C118" s="50"/>
      <c r="D118" s="50"/>
      <c r="E118" s="103"/>
      <c r="F118" s="50"/>
      <c r="G118" s="50"/>
      <c r="H118" s="50"/>
      <c r="I118" s="50"/>
      <c r="J118" s="50"/>
      <c r="K118" s="50"/>
      <c r="L118" s="50">
        <f>Koptame!A107</f>
        <v>0</v>
      </c>
      <c r="M118" s="50"/>
      <c r="N118" s="50"/>
      <c r="O118" s="50"/>
      <c r="P118" s="50"/>
    </row>
    <row r="119" spans="1:16" s="1" customFormat="1" ht="12.75" customHeight="1">
      <c r="A119" s="906" t="s">
        <v>7</v>
      </c>
      <c r="B119" s="906"/>
      <c r="C119" s="307"/>
      <c r="D119" s="50"/>
      <c r="E119" s="103"/>
      <c r="F119" s="50"/>
      <c r="G119" s="50"/>
      <c r="H119" s="50"/>
      <c r="I119" s="50"/>
      <c r="J119" s="50"/>
      <c r="K119" s="50"/>
      <c r="L119" s="307"/>
      <c r="M119" s="887">
        <f>Koptame!B108</f>
        <v>0</v>
      </c>
      <c r="N119" s="887"/>
      <c r="O119" s="50"/>
      <c r="P119" s="50"/>
    </row>
    <row r="120" spans="1:16" s="1" customFormat="1" ht="12.75" customHeight="1">
      <c r="B120" s="58"/>
      <c r="E120" s="98"/>
    </row>
  </sheetData>
  <mergeCells count="25">
    <mergeCell ref="A117:P117"/>
    <mergeCell ref="A118:B118"/>
    <mergeCell ref="A119:B119"/>
    <mergeCell ref="M119:N119"/>
    <mergeCell ref="A10:A11"/>
    <mergeCell ref="A116:B116"/>
    <mergeCell ref="B10:B11"/>
    <mergeCell ref="C10:C11"/>
    <mergeCell ref="D10:D11"/>
    <mergeCell ref="E10:E11"/>
    <mergeCell ref="A115:K115"/>
    <mergeCell ref="A1:P1"/>
    <mergeCell ref="A4:B4"/>
    <mergeCell ref="C4:P4"/>
    <mergeCell ref="A5:B5"/>
    <mergeCell ref="F10:K10"/>
    <mergeCell ref="L10:P10"/>
    <mergeCell ref="A2:P2"/>
    <mergeCell ref="C5:P5"/>
    <mergeCell ref="A6:B6"/>
    <mergeCell ref="C6:P6"/>
    <mergeCell ref="A7:B7"/>
    <mergeCell ref="A3:B3"/>
    <mergeCell ref="C3:P3"/>
    <mergeCell ref="C7:P7"/>
  </mergeCells>
  <conditionalFormatting sqref="C62:C65 C81:C84">
    <cfRule type="expression" priority="112" stopIfTrue="1">
      <formula>#REF!</formula>
    </cfRule>
  </conditionalFormatting>
  <conditionalFormatting sqref="C62:C65 C81:C84">
    <cfRule type="expression" priority="111" stopIfTrue="1">
      <formula>#REF!</formula>
    </cfRule>
  </conditionalFormatting>
  <conditionalFormatting sqref="C13">
    <cfRule type="expression" priority="110" stopIfTrue="1">
      <formula>#REF!</formula>
    </cfRule>
  </conditionalFormatting>
  <conditionalFormatting sqref="C13">
    <cfRule type="expression" priority="109" stopIfTrue="1">
      <formula>#REF!</formula>
    </cfRule>
  </conditionalFormatting>
  <conditionalFormatting sqref="C14:C19">
    <cfRule type="expression" priority="108" stopIfTrue="1">
      <formula>#REF!</formula>
    </cfRule>
  </conditionalFormatting>
  <conditionalFormatting sqref="C14:C19">
    <cfRule type="expression" priority="107" stopIfTrue="1">
      <formula>#REF!</formula>
    </cfRule>
  </conditionalFormatting>
  <conditionalFormatting sqref="C20">
    <cfRule type="expression" priority="106" stopIfTrue="1">
      <formula>#REF!</formula>
    </cfRule>
  </conditionalFormatting>
  <conditionalFormatting sqref="C20">
    <cfRule type="expression" priority="105" stopIfTrue="1">
      <formula>#REF!</formula>
    </cfRule>
  </conditionalFormatting>
  <conditionalFormatting sqref="C21:C23 C25:C26">
    <cfRule type="expression" priority="104" stopIfTrue="1">
      <formula>#REF!</formula>
    </cfRule>
  </conditionalFormatting>
  <conditionalFormatting sqref="C21:C23 C25:C26">
    <cfRule type="expression" priority="103" stopIfTrue="1">
      <formula>#REF!</formula>
    </cfRule>
  </conditionalFormatting>
  <conditionalFormatting sqref="C27">
    <cfRule type="expression" priority="102" stopIfTrue="1">
      <formula>#REF!</formula>
    </cfRule>
  </conditionalFormatting>
  <conditionalFormatting sqref="C27">
    <cfRule type="expression" priority="101" stopIfTrue="1">
      <formula>#REF!</formula>
    </cfRule>
  </conditionalFormatting>
  <conditionalFormatting sqref="C28 C30:C33">
    <cfRule type="expression" priority="100" stopIfTrue="1">
      <formula>#REF!</formula>
    </cfRule>
  </conditionalFormatting>
  <conditionalFormatting sqref="C28 C30:C33">
    <cfRule type="expression" priority="99" stopIfTrue="1">
      <formula>#REF!</formula>
    </cfRule>
  </conditionalFormatting>
  <conditionalFormatting sqref="C29">
    <cfRule type="expression" priority="98" stopIfTrue="1">
      <formula>#REF!</formula>
    </cfRule>
  </conditionalFormatting>
  <conditionalFormatting sqref="C29">
    <cfRule type="expression" priority="97" stopIfTrue="1">
      <formula>#REF!</formula>
    </cfRule>
  </conditionalFormatting>
  <conditionalFormatting sqref="C34 C36:C39">
    <cfRule type="expression" priority="96" stopIfTrue="1">
      <formula>#REF!</formula>
    </cfRule>
  </conditionalFormatting>
  <conditionalFormatting sqref="C34 C36:C39">
    <cfRule type="expression" priority="95" stopIfTrue="1">
      <formula>#REF!</formula>
    </cfRule>
  </conditionalFormatting>
  <conditionalFormatting sqref="C35">
    <cfRule type="expression" priority="94" stopIfTrue="1">
      <formula>#REF!</formula>
    </cfRule>
  </conditionalFormatting>
  <conditionalFormatting sqref="C35">
    <cfRule type="expression" priority="93" stopIfTrue="1">
      <formula>#REF!</formula>
    </cfRule>
  </conditionalFormatting>
  <conditionalFormatting sqref="C40">
    <cfRule type="expression" priority="92" stopIfTrue="1">
      <formula>#REF!</formula>
    </cfRule>
  </conditionalFormatting>
  <conditionalFormatting sqref="C40">
    <cfRule type="expression" priority="91" stopIfTrue="1">
      <formula>#REF!</formula>
    </cfRule>
  </conditionalFormatting>
  <conditionalFormatting sqref="C41:C45">
    <cfRule type="expression" priority="90" stopIfTrue="1">
      <formula>#REF!</formula>
    </cfRule>
  </conditionalFormatting>
  <conditionalFormatting sqref="C41:C45">
    <cfRule type="expression" priority="89" stopIfTrue="1">
      <formula>#REF!</formula>
    </cfRule>
  </conditionalFormatting>
  <conditionalFormatting sqref="C46 C48:C51">
    <cfRule type="expression" priority="88" stopIfTrue="1">
      <formula>#REF!</formula>
    </cfRule>
  </conditionalFormatting>
  <conditionalFormatting sqref="C46 C48:C51">
    <cfRule type="expression" priority="87" stopIfTrue="1">
      <formula>#REF!</formula>
    </cfRule>
  </conditionalFormatting>
  <conditionalFormatting sqref="C47">
    <cfRule type="expression" priority="86" stopIfTrue="1">
      <formula>#REF!</formula>
    </cfRule>
  </conditionalFormatting>
  <conditionalFormatting sqref="C47">
    <cfRule type="expression" priority="85" stopIfTrue="1">
      <formula>#REF!</formula>
    </cfRule>
  </conditionalFormatting>
  <conditionalFormatting sqref="C53 C55:C58">
    <cfRule type="expression" priority="84" stopIfTrue="1">
      <formula>#REF!</formula>
    </cfRule>
  </conditionalFormatting>
  <conditionalFormatting sqref="C53 C55:C58">
    <cfRule type="expression" priority="83" stopIfTrue="1">
      <formula>#REF!</formula>
    </cfRule>
  </conditionalFormatting>
  <conditionalFormatting sqref="C54">
    <cfRule type="expression" priority="82" stopIfTrue="1">
      <formula>#REF!</formula>
    </cfRule>
  </conditionalFormatting>
  <conditionalFormatting sqref="C54">
    <cfRule type="expression" priority="81" stopIfTrue="1">
      <formula>#REF!</formula>
    </cfRule>
  </conditionalFormatting>
  <conditionalFormatting sqref="C60">
    <cfRule type="expression" priority="80" stopIfTrue="1">
      <formula>#REF!</formula>
    </cfRule>
  </conditionalFormatting>
  <conditionalFormatting sqref="C60">
    <cfRule type="expression" priority="79" stopIfTrue="1">
      <formula>#REF!</formula>
    </cfRule>
  </conditionalFormatting>
  <conditionalFormatting sqref="C61">
    <cfRule type="expression" priority="78" stopIfTrue="1">
      <formula>#REF!</formula>
    </cfRule>
  </conditionalFormatting>
  <conditionalFormatting sqref="C61">
    <cfRule type="expression" priority="77" stopIfTrue="1">
      <formula>#REF!</formula>
    </cfRule>
  </conditionalFormatting>
  <conditionalFormatting sqref="C66">
    <cfRule type="expression" priority="76" stopIfTrue="1">
      <formula>#REF!</formula>
    </cfRule>
  </conditionalFormatting>
  <conditionalFormatting sqref="C66">
    <cfRule type="expression" priority="75" stopIfTrue="1">
      <formula>#REF!</formula>
    </cfRule>
  </conditionalFormatting>
  <conditionalFormatting sqref="C69:C72">
    <cfRule type="expression" priority="74" stopIfTrue="1">
      <formula>#REF!</formula>
    </cfRule>
  </conditionalFormatting>
  <conditionalFormatting sqref="C69:C72">
    <cfRule type="expression" priority="73" stopIfTrue="1">
      <formula>#REF!</formula>
    </cfRule>
  </conditionalFormatting>
  <conditionalFormatting sqref="C67">
    <cfRule type="expression" priority="72" stopIfTrue="1">
      <formula>#REF!</formula>
    </cfRule>
  </conditionalFormatting>
  <conditionalFormatting sqref="C67">
    <cfRule type="expression" priority="71" stopIfTrue="1">
      <formula>#REF!</formula>
    </cfRule>
  </conditionalFormatting>
  <conditionalFormatting sqref="C68">
    <cfRule type="expression" priority="70" stopIfTrue="1">
      <formula>#REF!</formula>
    </cfRule>
  </conditionalFormatting>
  <conditionalFormatting sqref="C68">
    <cfRule type="expression" priority="69" stopIfTrue="1">
      <formula>#REF!</formula>
    </cfRule>
  </conditionalFormatting>
  <conditionalFormatting sqref="C75">
    <cfRule type="expression" priority="66" stopIfTrue="1">
      <formula>#REF!</formula>
    </cfRule>
  </conditionalFormatting>
  <conditionalFormatting sqref="C75">
    <cfRule type="expression" priority="65" stopIfTrue="1">
      <formula>#REF!</formula>
    </cfRule>
  </conditionalFormatting>
  <conditionalFormatting sqref="C73">
    <cfRule type="expression" priority="68" stopIfTrue="1">
      <formula>#REF!</formula>
    </cfRule>
  </conditionalFormatting>
  <conditionalFormatting sqref="C73">
    <cfRule type="expression" priority="67" stopIfTrue="1">
      <formula>#REF!</formula>
    </cfRule>
  </conditionalFormatting>
  <conditionalFormatting sqref="C76">
    <cfRule type="expression" priority="64" stopIfTrue="1">
      <formula>#REF!</formula>
    </cfRule>
  </conditionalFormatting>
  <conditionalFormatting sqref="C76">
    <cfRule type="expression" priority="63" stopIfTrue="1">
      <formula>#REF!</formula>
    </cfRule>
  </conditionalFormatting>
  <conditionalFormatting sqref="C87">
    <cfRule type="expression" priority="54" stopIfTrue="1">
      <formula>#REF!</formula>
    </cfRule>
  </conditionalFormatting>
  <conditionalFormatting sqref="C87">
    <cfRule type="expression" priority="53" stopIfTrue="1">
      <formula>#REF!</formula>
    </cfRule>
  </conditionalFormatting>
  <conditionalFormatting sqref="C77:C78">
    <cfRule type="expression" priority="62" stopIfTrue="1">
      <formula>#REF!</formula>
    </cfRule>
  </conditionalFormatting>
  <conditionalFormatting sqref="C77:C78">
    <cfRule type="expression" priority="61" stopIfTrue="1">
      <formula>#REF!</formula>
    </cfRule>
  </conditionalFormatting>
  <conditionalFormatting sqref="C79">
    <cfRule type="expression" priority="60" stopIfTrue="1">
      <formula>#REF!</formula>
    </cfRule>
  </conditionalFormatting>
  <conditionalFormatting sqref="C79">
    <cfRule type="expression" priority="59" stopIfTrue="1">
      <formula>#REF!</formula>
    </cfRule>
  </conditionalFormatting>
  <conditionalFormatting sqref="C85">
    <cfRule type="expression" priority="58" stopIfTrue="1">
      <formula>#REF!</formula>
    </cfRule>
  </conditionalFormatting>
  <conditionalFormatting sqref="C85">
    <cfRule type="expression" priority="57" stopIfTrue="1">
      <formula>#REF!</formula>
    </cfRule>
  </conditionalFormatting>
  <conditionalFormatting sqref="C86 C89">
    <cfRule type="expression" priority="56" stopIfTrue="1">
      <formula>#REF!</formula>
    </cfRule>
  </conditionalFormatting>
  <conditionalFormatting sqref="C86 C89">
    <cfRule type="expression" priority="55" stopIfTrue="1">
      <formula>#REF!</formula>
    </cfRule>
  </conditionalFormatting>
  <conditionalFormatting sqref="C88">
    <cfRule type="expression" priority="52" stopIfTrue="1">
      <formula>#REF!</formula>
    </cfRule>
  </conditionalFormatting>
  <conditionalFormatting sqref="C88">
    <cfRule type="expression" priority="51" stopIfTrue="1">
      <formula>#REF!</formula>
    </cfRule>
  </conditionalFormatting>
  <conditionalFormatting sqref="C91">
    <cfRule type="expression" priority="48" stopIfTrue="1">
      <formula>#REF!</formula>
    </cfRule>
  </conditionalFormatting>
  <conditionalFormatting sqref="C91">
    <cfRule type="expression" priority="47" stopIfTrue="1">
      <formula>#REF!</formula>
    </cfRule>
  </conditionalFormatting>
  <conditionalFormatting sqref="C93">
    <cfRule type="expression" priority="44" stopIfTrue="1">
      <formula>#REF!</formula>
    </cfRule>
  </conditionalFormatting>
  <conditionalFormatting sqref="C93">
    <cfRule type="expression" priority="43" stopIfTrue="1">
      <formula>#REF!</formula>
    </cfRule>
  </conditionalFormatting>
  <conditionalFormatting sqref="C90">
    <cfRule type="expression" priority="50" stopIfTrue="1">
      <formula>#REF!</formula>
    </cfRule>
  </conditionalFormatting>
  <conditionalFormatting sqref="C90">
    <cfRule type="expression" priority="49" stopIfTrue="1">
      <formula>#REF!</formula>
    </cfRule>
  </conditionalFormatting>
  <conditionalFormatting sqref="C98">
    <cfRule type="expression" priority="42" stopIfTrue="1">
      <formula>#REF!</formula>
    </cfRule>
  </conditionalFormatting>
  <conditionalFormatting sqref="C98">
    <cfRule type="expression" priority="41" stopIfTrue="1">
      <formula>#REF!</formula>
    </cfRule>
  </conditionalFormatting>
  <conditionalFormatting sqref="C92">
    <cfRule type="expression" priority="46" stopIfTrue="1">
      <formula>#REF!</formula>
    </cfRule>
  </conditionalFormatting>
  <conditionalFormatting sqref="C92">
    <cfRule type="expression" priority="45" stopIfTrue="1">
      <formula>#REF!</formula>
    </cfRule>
  </conditionalFormatting>
  <conditionalFormatting sqref="C99">
    <cfRule type="expression" priority="40" stopIfTrue="1">
      <formula>#REF!</formula>
    </cfRule>
  </conditionalFormatting>
  <conditionalFormatting sqref="C99">
    <cfRule type="expression" priority="39" stopIfTrue="1">
      <formula>#REF!</formula>
    </cfRule>
  </conditionalFormatting>
  <conditionalFormatting sqref="C96">
    <cfRule type="expression" priority="36" stopIfTrue="1">
      <formula>#REF!</formula>
    </cfRule>
  </conditionalFormatting>
  <conditionalFormatting sqref="C96">
    <cfRule type="expression" priority="35" stopIfTrue="1">
      <formula>#REF!</formula>
    </cfRule>
  </conditionalFormatting>
  <conditionalFormatting sqref="C95">
    <cfRule type="expression" priority="38" stopIfTrue="1">
      <formula>#REF!</formula>
    </cfRule>
  </conditionalFormatting>
  <conditionalFormatting sqref="C95">
    <cfRule type="expression" priority="37" stopIfTrue="1">
      <formula>#REF!</formula>
    </cfRule>
  </conditionalFormatting>
  <conditionalFormatting sqref="C97">
    <cfRule type="expression" priority="34" stopIfTrue="1">
      <formula>#REF!</formula>
    </cfRule>
  </conditionalFormatting>
  <conditionalFormatting sqref="C97">
    <cfRule type="expression" priority="33" stopIfTrue="1">
      <formula>#REF!</formula>
    </cfRule>
  </conditionalFormatting>
  <conditionalFormatting sqref="C101">
    <cfRule type="expression" priority="28" stopIfTrue="1">
      <formula>#REF!</formula>
    </cfRule>
  </conditionalFormatting>
  <conditionalFormatting sqref="C101">
    <cfRule type="expression" priority="27" stopIfTrue="1">
      <formula>#REF!</formula>
    </cfRule>
  </conditionalFormatting>
  <conditionalFormatting sqref="C94">
    <cfRule type="expression" priority="32" stopIfTrue="1">
      <formula>#REF!</formula>
    </cfRule>
  </conditionalFormatting>
  <conditionalFormatting sqref="C94">
    <cfRule type="expression" priority="31" stopIfTrue="1">
      <formula>#REF!</formula>
    </cfRule>
  </conditionalFormatting>
  <conditionalFormatting sqref="C102">
    <cfRule type="expression" priority="26" stopIfTrue="1">
      <formula>#REF!</formula>
    </cfRule>
  </conditionalFormatting>
  <conditionalFormatting sqref="C102">
    <cfRule type="expression" priority="25" stopIfTrue="1">
      <formula>#REF!</formula>
    </cfRule>
  </conditionalFormatting>
  <conditionalFormatting sqref="C100">
    <cfRule type="expression" priority="30" stopIfTrue="1">
      <formula>#REF!</formula>
    </cfRule>
  </conditionalFormatting>
  <conditionalFormatting sqref="C100">
    <cfRule type="expression" priority="29" stopIfTrue="1">
      <formula>#REF!</formula>
    </cfRule>
  </conditionalFormatting>
  <conditionalFormatting sqref="C103">
    <cfRule type="expression" priority="24" stopIfTrue="1">
      <formula>#REF!</formula>
    </cfRule>
  </conditionalFormatting>
  <conditionalFormatting sqref="C103">
    <cfRule type="expression" priority="23" stopIfTrue="1">
      <formula>#REF!</formula>
    </cfRule>
  </conditionalFormatting>
  <conditionalFormatting sqref="C24">
    <cfRule type="expression" priority="22" stopIfTrue="1">
      <formula>#REF!</formula>
    </cfRule>
  </conditionalFormatting>
  <conditionalFormatting sqref="C24">
    <cfRule type="expression" priority="21" stopIfTrue="1">
      <formula>#REF!</formula>
    </cfRule>
  </conditionalFormatting>
  <conditionalFormatting sqref="C52">
    <cfRule type="expression" priority="20" stopIfTrue="1">
      <formula>#REF!</formula>
    </cfRule>
  </conditionalFormatting>
  <conditionalFormatting sqref="C52">
    <cfRule type="expression" priority="19" stopIfTrue="1">
      <formula>#REF!</formula>
    </cfRule>
  </conditionalFormatting>
  <conditionalFormatting sqref="C59">
    <cfRule type="expression" priority="18" stopIfTrue="1">
      <formula>#REF!</formula>
    </cfRule>
  </conditionalFormatting>
  <conditionalFormatting sqref="C59">
    <cfRule type="expression" priority="17" stopIfTrue="1">
      <formula>#REF!</formula>
    </cfRule>
  </conditionalFormatting>
  <conditionalFormatting sqref="C74">
    <cfRule type="expression" priority="16" stopIfTrue="1">
      <formula>#REF!</formula>
    </cfRule>
  </conditionalFormatting>
  <conditionalFormatting sqref="C74">
    <cfRule type="expression" priority="15" stopIfTrue="1">
      <formula>#REF!</formula>
    </cfRule>
  </conditionalFormatting>
  <conditionalFormatting sqref="C80">
    <cfRule type="expression" priority="14" stopIfTrue="1">
      <formula>#REF!</formula>
    </cfRule>
  </conditionalFormatting>
  <conditionalFormatting sqref="C80">
    <cfRule type="expression" priority="13" stopIfTrue="1">
      <formula>#REF!</formula>
    </cfRule>
  </conditionalFormatting>
  <conditionalFormatting sqref="C104">
    <cfRule type="expression" priority="12" stopIfTrue="1">
      <formula>#REF!</formula>
    </cfRule>
  </conditionalFormatting>
  <conditionalFormatting sqref="C104">
    <cfRule type="expression" priority="11" stopIfTrue="1">
      <formula>#REF!</formula>
    </cfRule>
  </conditionalFormatting>
  <conditionalFormatting sqref="C105">
    <cfRule type="expression" priority="10" stopIfTrue="1">
      <formula>#REF!</formula>
    </cfRule>
  </conditionalFormatting>
  <conditionalFormatting sqref="C105">
    <cfRule type="expression" priority="9" stopIfTrue="1">
      <formula>#REF!</formula>
    </cfRule>
  </conditionalFormatting>
  <conditionalFormatting sqref="C112:C114">
    <cfRule type="expression" priority="2" stopIfTrue="1">
      <formula>#REF!</formula>
    </cfRule>
  </conditionalFormatting>
  <conditionalFormatting sqref="C112:C114">
    <cfRule type="expression" priority="1" stopIfTrue="1">
      <formula>#REF!</formula>
    </cfRule>
  </conditionalFormatting>
  <conditionalFormatting sqref="C107:C110">
    <cfRule type="expression" priority="8" stopIfTrue="1">
      <formula>#REF!</formula>
    </cfRule>
  </conditionalFormatting>
  <conditionalFormatting sqref="C107:C110">
    <cfRule type="expression" priority="7" stopIfTrue="1">
      <formula>#REF!</formula>
    </cfRule>
  </conditionalFormatting>
  <conditionalFormatting sqref="C106">
    <cfRule type="expression" priority="6" stopIfTrue="1">
      <formula>#REF!</formula>
    </cfRule>
  </conditionalFormatting>
  <conditionalFormatting sqref="C106">
    <cfRule type="expression" priority="5" stopIfTrue="1">
      <formula>#REF!</formula>
    </cfRule>
  </conditionalFormatting>
  <conditionalFormatting sqref="C111">
    <cfRule type="expression" priority="4" stopIfTrue="1">
      <formula>#REF!</formula>
    </cfRule>
  </conditionalFormatting>
  <conditionalFormatting sqref="C111">
    <cfRule type="expression" priority="3" stopIfTrue="1">
      <formula>#REF!</formula>
    </cfRule>
  </conditionalFormatting>
  <printOptions horizontalCentered="1"/>
  <pageMargins left="0.25" right="0.25" top="0.75" bottom="0.75" header="0.3" footer="0.3"/>
  <pageSetup paperSize="9" scale="72"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Q77"/>
  <sheetViews>
    <sheetView showZeros="0" zoomScale="75" zoomScaleNormal="75" zoomScaleSheetLayoutView="80" workbookViewId="0">
      <selection activeCell="E12" sqref="E12"/>
    </sheetView>
  </sheetViews>
  <sheetFormatPr defaultColWidth="9.140625" defaultRowHeight="15"/>
  <cols>
    <col min="1" max="1" width="8.85546875" style="60" customWidth="1"/>
    <col min="2" max="2" width="11.7109375" style="60" customWidth="1"/>
    <col min="3" max="3" width="45.7109375" style="88" customWidth="1"/>
    <col min="4" max="4" width="8.7109375" style="60" customWidth="1"/>
    <col min="5" max="5" width="8.7109375" style="102" customWidth="1"/>
    <col min="6" max="11" width="8.7109375" style="60" customWidth="1"/>
    <col min="12" max="16" width="12.7109375" style="60" customWidth="1"/>
    <col min="17" max="16384" width="9.140625" style="60"/>
  </cols>
  <sheetData>
    <row r="1" spans="1:17" s="59" customFormat="1" ht="15.75">
      <c r="A1" s="875" t="s">
        <v>63</v>
      </c>
      <c r="B1" s="875"/>
      <c r="C1" s="875"/>
      <c r="D1" s="875"/>
      <c r="E1" s="875"/>
      <c r="F1" s="875"/>
      <c r="G1" s="875"/>
      <c r="H1" s="875"/>
      <c r="I1" s="875"/>
      <c r="J1" s="875"/>
      <c r="K1" s="875"/>
      <c r="L1" s="875"/>
      <c r="M1" s="875"/>
      <c r="N1" s="875"/>
      <c r="O1" s="875"/>
      <c r="P1" s="875"/>
    </row>
    <row r="2" spans="1:17" s="59" customFormat="1" ht="15.75">
      <c r="A2" s="899" t="s">
        <v>141</v>
      </c>
      <c r="B2" s="899"/>
      <c r="C2" s="899"/>
      <c r="D2" s="899"/>
      <c r="E2" s="899"/>
      <c r="F2" s="899"/>
      <c r="G2" s="899"/>
      <c r="H2" s="899"/>
      <c r="I2" s="899"/>
      <c r="J2" s="899"/>
      <c r="K2" s="899"/>
      <c r="L2" s="899"/>
      <c r="M2" s="899"/>
      <c r="N2" s="899"/>
      <c r="O2" s="899"/>
      <c r="P2" s="899"/>
    </row>
    <row r="3" spans="1:17" s="59" customFormat="1" ht="15.6" customHeight="1">
      <c r="A3" s="876" t="s">
        <v>10</v>
      </c>
      <c r="B3" s="876"/>
      <c r="C3" s="859" t="s">
        <v>117</v>
      </c>
      <c r="D3" s="859"/>
      <c r="E3" s="859"/>
      <c r="F3" s="859"/>
      <c r="G3" s="859"/>
      <c r="H3" s="859"/>
      <c r="I3" s="859"/>
      <c r="J3" s="859"/>
      <c r="K3" s="859"/>
      <c r="L3" s="859"/>
      <c r="M3" s="859"/>
      <c r="N3" s="859"/>
      <c r="O3" s="859"/>
      <c r="P3" s="859"/>
    </row>
    <row r="4" spans="1:17" s="59" customFormat="1" ht="15.6" customHeight="1">
      <c r="A4" s="876" t="s">
        <v>11</v>
      </c>
      <c r="B4" s="876"/>
      <c r="C4" s="859" t="s">
        <v>118</v>
      </c>
      <c r="D4" s="859"/>
      <c r="E4" s="859"/>
      <c r="F4" s="859"/>
      <c r="G4" s="859"/>
      <c r="H4" s="859"/>
      <c r="I4" s="859"/>
      <c r="J4" s="859"/>
      <c r="K4" s="859"/>
      <c r="L4" s="859"/>
      <c r="M4" s="859"/>
      <c r="N4" s="859"/>
      <c r="O4" s="859"/>
      <c r="P4" s="859"/>
    </row>
    <row r="5" spans="1:17" s="59" customFormat="1" ht="15.75">
      <c r="A5" s="876" t="s">
        <v>12</v>
      </c>
      <c r="B5" s="876"/>
      <c r="C5" s="859" t="s">
        <v>50</v>
      </c>
      <c r="D5" s="859"/>
      <c r="E5" s="859"/>
      <c r="F5" s="859"/>
      <c r="G5" s="859"/>
      <c r="H5" s="859"/>
      <c r="I5" s="859"/>
      <c r="J5" s="859"/>
      <c r="K5" s="859"/>
      <c r="L5" s="859"/>
      <c r="M5" s="859"/>
      <c r="N5" s="859"/>
      <c r="O5" s="859"/>
      <c r="P5" s="859"/>
    </row>
    <row r="6" spans="1:17" s="59" customFormat="1" ht="15.75">
      <c r="A6" s="876" t="s">
        <v>30</v>
      </c>
      <c r="B6" s="876"/>
      <c r="C6" s="874"/>
      <c r="D6" s="874"/>
      <c r="E6" s="874"/>
      <c r="F6" s="874"/>
      <c r="G6" s="874"/>
      <c r="H6" s="874"/>
      <c r="I6" s="874"/>
      <c r="J6" s="874"/>
      <c r="K6" s="874"/>
      <c r="L6" s="874"/>
      <c r="M6" s="874"/>
      <c r="N6" s="874"/>
      <c r="O6" s="874"/>
      <c r="P6" s="874"/>
    </row>
    <row r="7" spans="1:17" s="59" customFormat="1" ht="15.75">
      <c r="A7" s="876" t="s">
        <v>54</v>
      </c>
      <c r="B7" s="876"/>
      <c r="C7" s="873"/>
      <c r="D7" s="873"/>
      <c r="E7" s="873"/>
      <c r="F7" s="873"/>
      <c r="G7" s="873"/>
      <c r="H7" s="873"/>
      <c r="I7" s="873"/>
      <c r="J7" s="873"/>
      <c r="K7" s="873"/>
      <c r="L7" s="873"/>
      <c r="M7" s="873"/>
      <c r="N7" s="873"/>
      <c r="O7" s="873"/>
      <c r="P7" s="873"/>
    </row>
    <row r="8" spans="1:17" s="59" customFormat="1" ht="15.75">
      <c r="E8" s="107"/>
      <c r="J8" s="73"/>
      <c r="K8" s="73"/>
      <c r="L8" s="66"/>
      <c r="M8" s="66"/>
      <c r="N8" s="74"/>
      <c r="O8" s="63" t="s">
        <v>52</v>
      </c>
      <c r="P8" s="75">
        <f>P68</f>
        <v>0</v>
      </c>
    </row>
    <row r="9" spans="1:17">
      <c r="C9" s="60"/>
    </row>
    <row r="10" spans="1:17"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7"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7">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7" s="67" customFormat="1">
      <c r="A13" s="370"/>
      <c r="B13" s="370"/>
      <c r="C13" s="502" t="s">
        <v>533</v>
      </c>
      <c r="D13" s="370"/>
      <c r="E13" s="504"/>
      <c r="F13" s="223"/>
      <c r="G13" s="222"/>
      <c r="H13" s="135"/>
      <c r="I13" s="135"/>
      <c r="J13" s="259"/>
      <c r="K13" s="135"/>
      <c r="L13" s="135"/>
      <c r="M13" s="136"/>
      <c r="N13" s="136"/>
      <c r="O13" s="136"/>
      <c r="P13" s="136"/>
      <c r="Q13" s="180"/>
    </row>
    <row r="14" spans="1:17" s="67" customFormat="1" ht="24">
      <c r="A14" s="344">
        <v>1</v>
      </c>
      <c r="B14" s="344" t="s">
        <v>149</v>
      </c>
      <c r="C14" s="420" t="s">
        <v>534</v>
      </c>
      <c r="D14" s="344" t="s">
        <v>80</v>
      </c>
      <c r="E14" s="505">
        <v>1</v>
      </c>
      <c r="F14" s="175"/>
      <c r="G14" s="174"/>
      <c r="H14" s="153"/>
      <c r="I14" s="153"/>
      <c r="J14" s="257"/>
      <c r="K14" s="153"/>
      <c r="L14" s="153"/>
      <c r="M14" s="208"/>
      <c r="N14" s="208"/>
      <c r="O14" s="208"/>
      <c r="P14" s="208"/>
      <c r="Q14" s="180"/>
    </row>
    <row r="15" spans="1:17" s="67" customFormat="1" ht="24">
      <c r="A15" s="348">
        <f t="shared" ref="A15:A57" si="0">A14+1</f>
        <v>2</v>
      </c>
      <c r="B15" s="348" t="s">
        <v>149</v>
      </c>
      <c r="C15" s="423" t="s">
        <v>535</v>
      </c>
      <c r="D15" s="348" t="s">
        <v>80</v>
      </c>
      <c r="E15" s="491">
        <v>1</v>
      </c>
      <c r="F15" s="156"/>
      <c r="G15" s="143"/>
      <c r="H15" s="145"/>
      <c r="I15" s="145"/>
      <c r="J15" s="258"/>
      <c r="K15" s="145"/>
      <c r="L15" s="145"/>
      <c r="M15" s="204"/>
      <c r="N15" s="204"/>
      <c r="O15" s="204"/>
      <c r="P15" s="204"/>
      <c r="Q15" s="180"/>
    </row>
    <row r="16" spans="1:17" s="67" customFormat="1" ht="24">
      <c r="A16" s="348">
        <f t="shared" si="0"/>
        <v>3</v>
      </c>
      <c r="B16" s="348" t="s">
        <v>149</v>
      </c>
      <c r="C16" s="423" t="s">
        <v>536</v>
      </c>
      <c r="D16" s="348" t="s">
        <v>80</v>
      </c>
      <c r="E16" s="491">
        <v>1</v>
      </c>
      <c r="F16" s="156"/>
      <c r="G16" s="143"/>
      <c r="H16" s="145"/>
      <c r="I16" s="145"/>
      <c r="J16" s="258"/>
      <c r="K16" s="145"/>
      <c r="L16" s="145"/>
      <c r="M16" s="204"/>
      <c r="N16" s="204"/>
      <c r="O16" s="204"/>
      <c r="P16" s="204"/>
      <c r="Q16" s="180"/>
    </row>
    <row r="17" spans="1:17" s="67" customFormat="1" ht="24">
      <c r="A17" s="348">
        <f t="shared" si="0"/>
        <v>4</v>
      </c>
      <c r="B17" s="348" t="s">
        <v>149</v>
      </c>
      <c r="C17" s="423" t="s">
        <v>537</v>
      </c>
      <c r="D17" s="348" t="s">
        <v>80</v>
      </c>
      <c r="E17" s="491">
        <v>1</v>
      </c>
      <c r="F17" s="156"/>
      <c r="G17" s="143"/>
      <c r="H17" s="145"/>
      <c r="I17" s="145"/>
      <c r="J17" s="258"/>
      <c r="K17" s="145"/>
      <c r="L17" s="145"/>
      <c r="M17" s="204"/>
      <c r="N17" s="204"/>
      <c r="O17" s="204"/>
      <c r="P17" s="204"/>
      <c r="Q17" s="180"/>
    </row>
    <row r="18" spans="1:17" s="67" customFormat="1" ht="24">
      <c r="A18" s="348">
        <f t="shared" si="0"/>
        <v>5</v>
      </c>
      <c r="B18" s="348" t="s">
        <v>149</v>
      </c>
      <c r="C18" s="423" t="s">
        <v>538</v>
      </c>
      <c r="D18" s="348" t="s">
        <v>80</v>
      </c>
      <c r="E18" s="491">
        <v>23</v>
      </c>
      <c r="F18" s="156"/>
      <c r="G18" s="143"/>
      <c r="H18" s="145"/>
      <c r="I18" s="145"/>
      <c r="J18" s="258"/>
      <c r="K18" s="145"/>
      <c r="L18" s="145"/>
      <c r="M18" s="204"/>
      <c r="N18" s="204"/>
      <c r="O18" s="204"/>
      <c r="P18" s="204"/>
      <c r="Q18" s="180"/>
    </row>
    <row r="19" spans="1:17" s="67" customFormat="1" ht="24">
      <c r="A19" s="348">
        <f t="shared" si="0"/>
        <v>6</v>
      </c>
      <c r="B19" s="348" t="s">
        <v>149</v>
      </c>
      <c r="C19" s="423" t="s">
        <v>539</v>
      </c>
      <c r="D19" s="348" t="s">
        <v>80</v>
      </c>
      <c r="E19" s="491">
        <v>30</v>
      </c>
      <c r="F19" s="156"/>
      <c r="G19" s="143"/>
      <c r="H19" s="145"/>
      <c r="I19" s="145"/>
      <c r="J19" s="258"/>
      <c r="K19" s="145"/>
      <c r="L19" s="145"/>
      <c r="M19" s="204"/>
      <c r="N19" s="204"/>
      <c r="O19" s="204"/>
      <c r="P19" s="204"/>
      <c r="Q19" s="180"/>
    </row>
    <row r="20" spans="1:17" s="67" customFormat="1">
      <c r="A20" s="348">
        <f t="shared" si="0"/>
        <v>7</v>
      </c>
      <c r="B20" s="348" t="s">
        <v>149</v>
      </c>
      <c r="C20" s="377" t="s">
        <v>540</v>
      </c>
      <c r="D20" s="348" t="s">
        <v>80</v>
      </c>
      <c r="E20" s="491">
        <v>4</v>
      </c>
      <c r="F20" s="156"/>
      <c r="G20" s="143"/>
      <c r="H20" s="145"/>
      <c r="I20" s="145"/>
      <c r="J20" s="258"/>
      <c r="K20" s="145"/>
      <c r="L20" s="145"/>
      <c r="M20" s="204"/>
      <c r="N20" s="204"/>
      <c r="O20" s="204"/>
      <c r="P20" s="204"/>
      <c r="Q20" s="180"/>
    </row>
    <row r="21" spans="1:17" s="67" customFormat="1">
      <c r="A21" s="348">
        <f t="shared" si="0"/>
        <v>8</v>
      </c>
      <c r="B21" s="348" t="s">
        <v>149</v>
      </c>
      <c r="C21" s="377" t="s">
        <v>541</v>
      </c>
      <c r="D21" s="348" t="s">
        <v>80</v>
      </c>
      <c r="E21" s="491">
        <v>3</v>
      </c>
      <c r="F21" s="156"/>
      <c r="G21" s="143"/>
      <c r="H21" s="145"/>
      <c r="I21" s="145"/>
      <c r="J21" s="258"/>
      <c r="K21" s="145"/>
      <c r="L21" s="145"/>
      <c r="M21" s="204"/>
      <c r="N21" s="204"/>
      <c r="O21" s="204"/>
      <c r="P21" s="204"/>
      <c r="Q21" s="180"/>
    </row>
    <row r="22" spans="1:17" s="67" customFormat="1">
      <c r="A22" s="348">
        <f t="shared" si="0"/>
        <v>9</v>
      </c>
      <c r="B22" s="348" t="s">
        <v>149</v>
      </c>
      <c r="C22" s="377" t="s">
        <v>542</v>
      </c>
      <c r="D22" s="348" t="s">
        <v>80</v>
      </c>
      <c r="E22" s="491">
        <v>7</v>
      </c>
      <c r="F22" s="156"/>
      <c r="G22" s="143"/>
      <c r="H22" s="145"/>
      <c r="I22" s="145"/>
      <c r="J22" s="258"/>
      <c r="K22" s="145"/>
      <c r="L22" s="145"/>
      <c r="M22" s="204"/>
      <c r="N22" s="204"/>
      <c r="O22" s="204"/>
      <c r="P22" s="204"/>
      <c r="Q22" s="180"/>
    </row>
    <row r="23" spans="1:17" s="67" customFormat="1" ht="24">
      <c r="A23" s="348">
        <f t="shared" si="0"/>
        <v>10</v>
      </c>
      <c r="B23" s="348" t="s">
        <v>149</v>
      </c>
      <c r="C23" s="377" t="s">
        <v>543</v>
      </c>
      <c r="D23" s="348" t="s">
        <v>80</v>
      </c>
      <c r="E23" s="491">
        <v>1</v>
      </c>
      <c r="F23" s="156"/>
      <c r="G23" s="143"/>
      <c r="H23" s="145"/>
      <c r="I23" s="145"/>
      <c r="J23" s="258"/>
      <c r="K23" s="145"/>
      <c r="L23" s="145"/>
      <c r="M23" s="204"/>
      <c r="N23" s="204"/>
      <c r="O23" s="204"/>
      <c r="P23" s="204"/>
      <c r="Q23" s="180"/>
    </row>
    <row r="24" spans="1:17" s="67" customFormat="1" ht="24">
      <c r="A24" s="348">
        <f t="shared" si="0"/>
        <v>11</v>
      </c>
      <c r="B24" s="348" t="s">
        <v>149</v>
      </c>
      <c r="C24" s="423" t="s">
        <v>544</v>
      </c>
      <c r="D24" s="348" t="s">
        <v>80</v>
      </c>
      <c r="E24" s="491">
        <v>4</v>
      </c>
      <c r="F24" s="156"/>
      <c r="G24" s="143"/>
      <c r="H24" s="145"/>
      <c r="I24" s="145"/>
      <c r="J24" s="258"/>
      <c r="K24" s="145"/>
      <c r="L24" s="145"/>
      <c r="M24" s="204"/>
      <c r="N24" s="204"/>
      <c r="O24" s="204"/>
      <c r="P24" s="204"/>
      <c r="Q24" s="180"/>
    </row>
    <row r="25" spans="1:17" s="67" customFormat="1" ht="24">
      <c r="A25" s="348">
        <f t="shared" si="0"/>
        <v>12</v>
      </c>
      <c r="B25" s="348" t="s">
        <v>149</v>
      </c>
      <c r="C25" s="423" t="s">
        <v>545</v>
      </c>
      <c r="D25" s="348" t="s">
        <v>80</v>
      </c>
      <c r="E25" s="491">
        <v>3</v>
      </c>
      <c r="F25" s="156"/>
      <c r="G25" s="143"/>
      <c r="H25" s="145"/>
      <c r="I25" s="145"/>
      <c r="J25" s="258"/>
      <c r="K25" s="145"/>
      <c r="L25" s="145"/>
      <c r="M25" s="204"/>
      <c r="N25" s="204"/>
      <c r="O25" s="204"/>
      <c r="P25" s="204"/>
      <c r="Q25" s="180"/>
    </row>
    <row r="26" spans="1:17" s="67" customFormat="1" ht="24">
      <c r="A26" s="348">
        <f t="shared" si="0"/>
        <v>13</v>
      </c>
      <c r="B26" s="348" t="s">
        <v>149</v>
      </c>
      <c r="C26" s="423" t="s">
        <v>546</v>
      </c>
      <c r="D26" s="348" t="s">
        <v>80</v>
      </c>
      <c r="E26" s="491">
        <v>3</v>
      </c>
      <c r="F26" s="156"/>
      <c r="G26" s="143"/>
      <c r="H26" s="145"/>
      <c r="I26" s="145"/>
      <c r="J26" s="258"/>
      <c r="K26" s="145"/>
      <c r="L26" s="145"/>
      <c r="M26" s="204"/>
      <c r="N26" s="204"/>
      <c r="O26" s="204"/>
      <c r="P26" s="204"/>
      <c r="Q26" s="180"/>
    </row>
    <row r="27" spans="1:17" s="67" customFormat="1" ht="24">
      <c r="A27" s="348">
        <f t="shared" si="0"/>
        <v>14</v>
      </c>
      <c r="B27" s="348" t="s">
        <v>149</v>
      </c>
      <c r="C27" s="423" t="s">
        <v>547</v>
      </c>
      <c r="D27" s="348" t="s">
        <v>80</v>
      </c>
      <c r="E27" s="491">
        <v>1</v>
      </c>
      <c r="F27" s="156"/>
      <c r="G27" s="143"/>
      <c r="H27" s="145"/>
      <c r="I27" s="145"/>
      <c r="J27" s="258"/>
      <c r="K27" s="145"/>
      <c r="L27" s="145"/>
      <c r="M27" s="204"/>
      <c r="N27" s="204"/>
      <c r="O27" s="204"/>
      <c r="P27" s="204"/>
      <c r="Q27" s="180"/>
    </row>
    <row r="28" spans="1:17" s="67" customFormat="1" ht="24">
      <c r="A28" s="348">
        <f t="shared" si="0"/>
        <v>15</v>
      </c>
      <c r="B28" s="348" t="s">
        <v>149</v>
      </c>
      <c r="C28" s="377" t="s">
        <v>548</v>
      </c>
      <c r="D28" s="348" t="s">
        <v>80</v>
      </c>
      <c r="E28" s="491">
        <v>3</v>
      </c>
      <c r="F28" s="156"/>
      <c r="G28" s="143"/>
      <c r="H28" s="145"/>
      <c r="I28" s="145"/>
      <c r="J28" s="258"/>
      <c r="K28" s="145"/>
      <c r="L28" s="145"/>
      <c r="M28" s="204"/>
      <c r="N28" s="204"/>
      <c r="O28" s="204"/>
      <c r="P28" s="204"/>
      <c r="Q28" s="180"/>
    </row>
    <row r="29" spans="1:17" s="67" customFormat="1" ht="24">
      <c r="A29" s="348">
        <f t="shared" si="0"/>
        <v>16</v>
      </c>
      <c r="B29" s="348" t="s">
        <v>149</v>
      </c>
      <c r="C29" s="423" t="s">
        <v>549</v>
      </c>
      <c r="D29" s="348" t="s">
        <v>80</v>
      </c>
      <c r="E29" s="491">
        <v>3</v>
      </c>
      <c r="F29" s="156"/>
      <c r="G29" s="143"/>
      <c r="H29" s="145"/>
      <c r="I29" s="145"/>
      <c r="J29" s="258"/>
      <c r="K29" s="145"/>
      <c r="L29" s="145"/>
      <c r="M29" s="204"/>
      <c r="N29" s="204"/>
      <c r="O29" s="204"/>
      <c r="P29" s="204"/>
      <c r="Q29" s="180"/>
    </row>
    <row r="30" spans="1:17" s="67" customFormat="1" ht="24">
      <c r="A30" s="348">
        <f t="shared" si="0"/>
        <v>17</v>
      </c>
      <c r="B30" s="348" t="s">
        <v>149</v>
      </c>
      <c r="C30" s="423" t="s">
        <v>550</v>
      </c>
      <c r="D30" s="348" t="s">
        <v>80</v>
      </c>
      <c r="E30" s="491">
        <v>7</v>
      </c>
      <c r="F30" s="156"/>
      <c r="G30" s="143"/>
      <c r="H30" s="145"/>
      <c r="I30" s="145"/>
      <c r="J30" s="258"/>
      <c r="K30" s="145"/>
      <c r="L30" s="145"/>
      <c r="M30" s="204"/>
      <c r="N30" s="204"/>
      <c r="O30" s="204"/>
      <c r="P30" s="204"/>
      <c r="Q30" s="180"/>
    </row>
    <row r="31" spans="1:17" s="67" customFormat="1" ht="24">
      <c r="A31" s="348">
        <f t="shared" si="0"/>
        <v>18</v>
      </c>
      <c r="B31" s="348" t="s">
        <v>149</v>
      </c>
      <c r="C31" s="377" t="s">
        <v>551</v>
      </c>
      <c r="D31" s="348" t="s">
        <v>80</v>
      </c>
      <c r="E31" s="491">
        <v>2</v>
      </c>
      <c r="F31" s="156"/>
      <c r="G31" s="143"/>
      <c r="H31" s="145"/>
      <c r="I31" s="145"/>
      <c r="J31" s="258"/>
      <c r="K31" s="145"/>
      <c r="L31" s="145"/>
      <c r="M31" s="204"/>
      <c r="N31" s="204"/>
      <c r="O31" s="204"/>
      <c r="P31" s="204"/>
      <c r="Q31" s="180"/>
    </row>
    <row r="32" spans="1:17" s="67" customFormat="1" ht="24">
      <c r="A32" s="348">
        <f t="shared" si="0"/>
        <v>19</v>
      </c>
      <c r="B32" s="348" t="s">
        <v>149</v>
      </c>
      <c r="C32" s="423" t="s">
        <v>552</v>
      </c>
      <c r="D32" s="348" t="s">
        <v>80</v>
      </c>
      <c r="E32" s="491">
        <v>1</v>
      </c>
      <c r="F32" s="156"/>
      <c r="G32" s="143"/>
      <c r="H32" s="145"/>
      <c r="I32" s="145"/>
      <c r="J32" s="258"/>
      <c r="K32" s="145"/>
      <c r="L32" s="145"/>
      <c r="M32" s="204"/>
      <c r="N32" s="204"/>
      <c r="O32" s="204"/>
      <c r="P32" s="204"/>
      <c r="Q32" s="180"/>
    </row>
    <row r="33" spans="1:17" s="67" customFormat="1" ht="24">
      <c r="A33" s="348">
        <f t="shared" si="0"/>
        <v>20</v>
      </c>
      <c r="B33" s="348" t="s">
        <v>149</v>
      </c>
      <c r="C33" s="423" t="s">
        <v>553</v>
      </c>
      <c r="D33" s="348" t="s">
        <v>80</v>
      </c>
      <c r="E33" s="491">
        <v>1</v>
      </c>
      <c r="F33" s="156"/>
      <c r="G33" s="143"/>
      <c r="H33" s="145"/>
      <c r="I33" s="145"/>
      <c r="J33" s="258"/>
      <c r="K33" s="145"/>
      <c r="L33" s="145"/>
      <c r="M33" s="204"/>
      <c r="N33" s="204"/>
      <c r="O33" s="204"/>
      <c r="P33" s="204"/>
      <c r="Q33" s="180"/>
    </row>
    <row r="34" spans="1:17" s="67" customFormat="1" ht="24">
      <c r="A34" s="348">
        <f t="shared" si="0"/>
        <v>21</v>
      </c>
      <c r="B34" s="348" t="s">
        <v>149</v>
      </c>
      <c r="C34" s="423" t="s">
        <v>554</v>
      </c>
      <c r="D34" s="348" t="s">
        <v>80</v>
      </c>
      <c r="E34" s="491">
        <v>4</v>
      </c>
      <c r="F34" s="156"/>
      <c r="G34" s="143"/>
      <c r="H34" s="145"/>
      <c r="I34" s="145"/>
      <c r="J34" s="258"/>
      <c r="K34" s="145"/>
      <c r="L34" s="145"/>
      <c r="M34" s="204"/>
      <c r="N34" s="204"/>
      <c r="O34" s="204"/>
      <c r="P34" s="204"/>
      <c r="Q34" s="180"/>
    </row>
    <row r="35" spans="1:17" s="67" customFormat="1" ht="24">
      <c r="A35" s="348">
        <f t="shared" si="0"/>
        <v>22</v>
      </c>
      <c r="B35" s="348" t="s">
        <v>149</v>
      </c>
      <c r="C35" s="423" t="s">
        <v>555</v>
      </c>
      <c r="D35" s="348" t="s">
        <v>80</v>
      </c>
      <c r="E35" s="491">
        <v>4</v>
      </c>
      <c r="F35" s="156"/>
      <c r="G35" s="143"/>
      <c r="H35" s="145"/>
      <c r="I35" s="145"/>
      <c r="J35" s="258"/>
      <c r="K35" s="145"/>
      <c r="L35" s="145"/>
      <c r="M35" s="204"/>
      <c r="N35" s="204"/>
      <c r="O35" s="204"/>
      <c r="P35" s="204"/>
      <c r="Q35" s="180"/>
    </row>
    <row r="36" spans="1:17" s="67" customFormat="1" ht="24">
      <c r="A36" s="348">
        <f t="shared" si="0"/>
        <v>23</v>
      </c>
      <c r="B36" s="348" t="s">
        <v>149</v>
      </c>
      <c r="C36" s="423" t="s">
        <v>556</v>
      </c>
      <c r="D36" s="348" t="s">
        <v>80</v>
      </c>
      <c r="E36" s="491">
        <v>2</v>
      </c>
      <c r="F36" s="156"/>
      <c r="G36" s="143"/>
      <c r="H36" s="145"/>
      <c r="I36" s="145"/>
      <c r="J36" s="258"/>
      <c r="K36" s="145"/>
      <c r="L36" s="145"/>
      <c r="M36" s="204"/>
      <c r="N36" s="204"/>
      <c r="O36" s="204"/>
      <c r="P36" s="204"/>
      <c r="Q36" s="180"/>
    </row>
    <row r="37" spans="1:17" s="67" customFormat="1" ht="24">
      <c r="A37" s="348">
        <f t="shared" si="0"/>
        <v>24</v>
      </c>
      <c r="B37" s="348" t="s">
        <v>149</v>
      </c>
      <c r="C37" s="423" t="s">
        <v>557</v>
      </c>
      <c r="D37" s="348" t="s">
        <v>80</v>
      </c>
      <c r="E37" s="491">
        <v>4</v>
      </c>
      <c r="F37" s="156"/>
      <c r="G37" s="143"/>
      <c r="H37" s="145"/>
      <c r="I37" s="145"/>
      <c r="J37" s="258"/>
      <c r="K37" s="145"/>
      <c r="L37" s="145"/>
      <c r="M37" s="204"/>
      <c r="N37" s="204"/>
      <c r="O37" s="204"/>
      <c r="P37" s="204"/>
      <c r="Q37" s="180"/>
    </row>
    <row r="38" spans="1:17" s="67" customFormat="1" ht="24">
      <c r="A38" s="348">
        <f t="shared" si="0"/>
        <v>25</v>
      </c>
      <c r="B38" s="348" t="s">
        <v>149</v>
      </c>
      <c r="C38" s="377" t="s">
        <v>558</v>
      </c>
      <c r="D38" s="348" t="s">
        <v>80</v>
      </c>
      <c r="E38" s="491">
        <v>2</v>
      </c>
      <c r="F38" s="156"/>
      <c r="G38" s="143"/>
      <c r="H38" s="145"/>
      <c r="I38" s="145"/>
      <c r="J38" s="258"/>
      <c r="K38" s="145"/>
      <c r="L38" s="145"/>
      <c r="M38" s="204"/>
      <c r="N38" s="204"/>
      <c r="O38" s="204"/>
      <c r="P38" s="204"/>
      <c r="Q38" s="180"/>
    </row>
    <row r="39" spans="1:17" s="67" customFormat="1" ht="24">
      <c r="A39" s="380">
        <f t="shared" si="0"/>
        <v>26</v>
      </c>
      <c r="B39" s="380" t="s">
        <v>149</v>
      </c>
      <c r="C39" s="381" t="s">
        <v>559</v>
      </c>
      <c r="D39" s="380" t="s">
        <v>80</v>
      </c>
      <c r="E39" s="506">
        <v>1</v>
      </c>
      <c r="F39" s="160"/>
      <c r="G39" s="159"/>
      <c r="H39" s="150"/>
      <c r="I39" s="150"/>
      <c r="J39" s="260"/>
      <c r="K39" s="150"/>
      <c r="L39" s="150"/>
      <c r="M39" s="207"/>
      <c r="N39" s="207"/>
      <c r="O39" s="207"/>
      <c r="P39" s="207"/>
      <c r="Q39" s="180"/>
    </row>
    <row r="40" spans="1:17" s="67" customFormat="1">
      <c r="A40" s="370"/>
      <c r="B40" s="370"/>
      <c r="C40" s="502" t="s">
        <v>560</v>
      </c>
      <c r="D40" s="370"/>
      <c r="E40" s="504"/>
      <c r="F40" s="223"/>
      <c r="G40" s="222"/>
      <c r="H40" s="135"/>
      <c r="I40" s="135"/>
      <c r="J40" s="259"/>
      <c r="K40" s="135"/>
      <c r="L40" s="135"/>
      <c r="M40" s="136"/>
      <c r="N40" s="136"/>
      <c r="O40" s="136"/>
      <c r="P40" s="136"/>
      <c r="Q40" s="180"/>
    </row>
    <row r="41" spans="1:17" s="67" customFormat="1" ht="48">
      <c r="A41" s="385">
        <f>A39+1</f>
        <v>27</v>
      </c>
      <c r="B41" s="385" t="s">
        <v>149</v>
      </c>
      <c r="C41" s="428" t="s">
        <v>561</v>
      </c>
      <c r="D41" s="385" t="s">
        <v>80</v>
      </c>
      <c r="E41" s="507">
        <v>11</v>
      </c>
      <c r="F41" s="163"/>
      <c r="G41" s="161"/>
      <c r="H41" s="146"/>
      <c r="I41" s="146"/>
      <c r="J41" s="220"/>
      <c r="K41" s="146"/>
      <c r="L41" s="146"/>
      <c r="M41" s="205"/>
      <c r="N41" s="205"/>
      <c r="O41" s="205"/>
      <c r="P41" s="205"/>
      <c r="Q41" s="180"/>
    </row>
    <row r="42" spans="1:17" s="67" customFormat="1" ht="48">
      <c r="A42" s="348">
        <f>A41+1</f>
        <v>28</v>
      </c>
      <c r="B42" s="348" t="s">
        <v>149</v>
      </c>
      <c r="C42" s="423" t="s">
        <v>562</v>
      </c>
      <c r="D42" s="348" t="s">
        <v>80</v>
      </c>
      <c r="E42" s="491">
        <v>1</v>
      </c>
      <c r="F42" s="156"/>
      <c r="G42" s="143"/>
      <c r="H42" s="145"/>
      <c r="I42" s="145"/>
      <c r="J42" s="258"/>
      <c r="K42" s="145"/>
      <c r="L42" s="145"/>
      <c r="M42" s="204"/>
      <c r="N42" s="204"/>
      <c r="O42" s="204"/>
      <c r="P42" s="204"/>
      <c r="Q42" s="180"/>
    </row>
    <row r="43" spans="1:17" s="67" customFormat="1" ht="48">
      <c r="A43" s="348">
        <f>A42+1</f>
        <v>29</v>
      </c>
      <c r="B43" s="348" t="s">
        <v>149</v>
      </c>
      <c r="C43" s="423" t="s">
        <v>563</v>
      </c>
      <c r="D43" s="348" t="s">
        <v>80</v>
      </c>
      <c r="E43" s="491">
        <v>61</v>
      </c>
      <c r="F43" s="156"/>
      <c r="G43" s="143"/>
      <c r="H43" s="145"/>
      <c r="I43" s="145"/>
      <c r="J43" s="258"/>
      <c r="K43" s="145"/>
      <c r="L43" s="145"/>
      <c r="M43" s="204"/>
      <c r="N43" s="204"/>
      <c r="O43" s="204"/>
      <c r="P43" s="204"/>
      <c r="Q43" s="180"/>
    </row>
    <row r="44" spans="1:17" s="67" customFormat="1" ht="48">
      <c r="A44" s="348">
        <f>A43+1</f>
        <v>30</v>
      </c>
      <c r="B44" s="348" t="s">
        <v>149</v>
      </c>
      <c r="C44" s="423" t="s">
        <v>564</v>
      </c>
      <c r="D44" s="348" t="s">
        <v>80</v>
      </c>
      <c r="E44" s="491">
        <v>2</v>
      </c>
      <c r="F44" s="156"/>
      <c r="G44" s="143"/>
      <c r="H44" s="145"/>
      <c r="I44" s="145"/>
      <c r="J44" s="258"/>
      <c r="K44" s="145"/>
      <c r="L44" s="145"/>
      <c r="M44" s="204"/>
      <c r="N44" s="204"/>
      <c r="O44" s="204"/>
      <c r="P44" s="204"/>
      <c r="Q44" s="180"/>
    </row>
    <row r="45" spans="1:17" s="67" customFormat="1" ht="48">
      <c r="A45" s="348">
        <f>A44+1</f>
        <v>31</v>
      </c>
      <c r="B45" s="348" t="s">
        <v>149</v>
      </c>
      <c r="C45" s="423" t="s">
        <v>565</v>
      </c>
      <c r="D45" s="348" t="s">
        <v>80</v>
      </c>
      <c r="E45" s="491">
        <v>60</v>
      </c>
      <c r="F45" s="156"/>
      <c r="G45" s="143"/>
      <c r="H45" s="145"/>
      <c r="I45" s="145"/>
      <c r="J45" s="258"/>
      <c r="K45" s="145"/>
      <c r="L45" s="145"/>
      <c r="M45" s="204"/>
      <c r="N45" s="204"/>
      <c r="O45" s="204"/>
      <c r="P45" s="204"/>
      <c r="Q45" s="180"/>
    </row>
    <row r="46" spans="1:17" s="67" customFormat="1" ht="48">
      <c r="A46" s="348">
        <f t="shared" si="0"/>
        <v>32</v>
      </c>
      <c r="B46" s="348" t="s">
        <v>149</v>
      </c>
      <c r="C46" s="423" t="s">
        <v>566</v>
      </c>
      <c r="D46" s="348" t="s">
        <v>80</v>
      </c>
      <c r="E46" s="491">
        <v>4</v>
      </c>
      <c r="F46" s="156"/>
      <c r="G46" s="143"/>
      <c r="H46" s="145"/>
      <c r="I46" s="145"/>
      <c r="J46" s="258"/>
      <c r="K46" s="145"/>
      <c r="L46" s="145"/>
      <c r="M46" s="204"/>
      <c r="N46" s="204"/>
      <c r="O46" s="204"/>
      <c r="P46" s="204"/>
      <c r="Q46" s="180"/>
    </row>
    <row r="47" spans="1:17" s="67" customFormat="1" ht="48">
      <c r="A47" s="348">
        <f t="shared" si="0"/>
        <v>33</v>
      </c>
      <c r="B47" s="348" t="s">
        <v>149</v>
      </c>
      <c r="C47" s="423" t="s">
        <v>567</v>
      </c>
      <c r="D47" s="348" t="s">
        <v>80</v>
      </c>
      <c r="E47" s="491">
        <v>4</v>
      </c>
      <c r="F47" s="156"/>
      <c r="G47" s="143"/>
      <c r="H47" s="145"/>
      <c r="I47" s="145"/>
      <c r="J47" s="258"/>
      <c r="K47" s="145"/>
      <c r="L47" s="145"/>
      <c r="M47" s="204"/>
      <c r="N47" s="204"/>
      <c r="O47" s="204"/>
      <c r="P47" s="204"/>
      <c r="Q47" s="180"/>
    </row>
    <row r="48" spans="1:17" s="67" customFormat="1" ht="48">
      <c r="A48" s="348">
        <f t="shared" si="0"/>
        <v>34</v>
      </c>
      <c r="B48" s="348" t="s">
        <v>149</v>
      </c>
      <c r="C48" s="423" t="s">
        <v>568</v>
      </c>
      <c r="D48" s="348" t="s">
        <v>80</v>
      </c>
      <c r="E48" s="491">
        <v>2</v>
      </c>
      <c r="F48" s="156"/>
      <c r="G48" s="143"/>
      <c r="H48" s="145"/>
      <c r="I48" s="145"/>
      <c r="J48" s="258"/>
      <c r="K48" s="145"/>
      <c r="L48" s="145"/>
      <c r="M48" s="204"/>
      <c r="N48" s="204"/>
      <c r="O48" s="204"/>
      <c r="P48" s="204"/>
      <c r="Q48" s="180"/>
    </row>
    <row r="49" spans="1:17" s="67" customFormat="1" ht="48">
      <c r="A49" s="348">
        <f t="shared" si="0"/>
        <v>35</v>
      </c>
      <c r="B49" s="348" t="s">
        <v>149</v>
      </c>
      <c r="C49" s="423" t="s">
        <v>569</v>
      </c>
      <c r="D49" s="348" t="s">
        <v>80</v>
      </c>
      <c r="E49" s="491">
        <v>1</v>
      </c>
      <c r="F49" s="156"/>
      <c r="G49" s="143"/>
      <c r="H49" s="145"/>
      <c r="I49" s="145"/>
      <c r="J49" s="258"/>
      <c r="K49" s="145"/>
      <c r="L49" s="145"/>
      <c r="M49" s="204"/>
      <c r="N49" s="204"/>
      <c r="O49" s="204"/>
      <c r="P49" s="204"/>
      <c r="Q49" s="180"/>
    </row>
    <row r="50" spans="1:17" s="67" customFormat="1" ht="48">
      <c r="A50" s="348">
        <f t="shared" si="0"/>
        <v>36</v>
      </c>
      <c r="B50" s="348" t="s">
        <v>149</v>
      </c>
      <c r="C50" s="423" t="s">
        <v>570</v>
      </c>
      <c r="D50" s="348" t="s">
        <v>80</v>
      </c>
      <c r="E50" s="491">
        <v>5</v>
      </c>
      <c r="F50" s="156"/>
      <c r="G50" s="143"/>
      <c r="H50" s="145"/>
      <c r="I50" s="145"/>
      <c r="J50" s="258"/>
      <c r="K50" s="145"/>
      <c r="L50" s="145"/>
      <c r="M50" s="204"/>
      <c r="N50" s="204"/>
      <c r="O50" s="204"/>
      <c r="P50" s="204"/>
      <c r="Q50" s="180"/>
    </row>
    <row r="51" spans="1:17" s="67" customFormat="1" ht="48">
      <c r="A51" s="348">
        <f t="shared" si="0"/>
        <v>37</v>
      </c>
      <c r="B51" s="348" t="s">
        <v>149</v>
      </c>
      <c r="C51" s="423" t="s">
        <v>571</v>
      </c>
      <c r="D51" s="348" t="s">
        <v>80</v>
      </c>
      <c r="E51" s="491">
        <v>3</v>
      </c>
      <c r="F51" s="156"/>
      <c r="G51" s="143"/>
      <c r="H51" s="145"/>
      <c r="I51" s="145"/>
      <c r="J51" s="258"/>
      <c r="K51" s="145"/>
      <c r="L51" s="145"/>
      <c r="M51" s="204"/>
      <c r="N51" s="204"/>
      <c r="O51" s="204"/>
      <c r="P51" s="204"/>
      <c r="Q51" s="180"/>
    </row>
    <row r="52" spans="1:17" s="67" customFormat="1" ht="48">
      <c r="A52" s="348">
        <f t="shared" si="0"/>
        <v>38</v>
      </c>
      <c r="B52" s="348" t="s">
        <v>149</v>
      </c>
      <c r="C52" s="423" t="s">
        <v>572</v>
      </c>
      <c r="D52" s="348" t="s">
        <v>80</v>
      </c>
      <c r="E52" s="491">
        <v>1</v>
      </c>
      <c r="F52" s="156"/>
      <c r="G52" s="143"/>
      <c r="H52" s="145"/>
      <c r="I52" s="145"/>
      <c r="J52" s="258"/>
      <c r="K52" s="145"/>
      <c r="L52" s="145"/>
      <c r="M52" s="204"/>
      <c r="N52" s="204"/>
      <c r="O52" s="204"/>
      <c r="P52" s="204"/>
      <c r="Q52" s="180"/>
    </row>
    <row r="53" spans="1:17" s="67" customFormat="1" ht="48">
      <c r="A53" s="348">
        <f t="shared" si="0"/>
        <v>39</v>
      </c>
      <c r="B53" s="348" t="s">
        <v>149</v>
      </c>
      <c r="C53" s="423" t="s">
        <v>573</v>
      </c>
      <c r="D53" s="348" t="s">
        <v>80</v>
      </c>
      <c r="E53" s="491">
        <v>3</v>
      </c>
      <c r="F53" s="156"/>
      <c r="G53" s="143"/>
      <c r="H53" s="145"/>
      <c r="I53" s="145"/>
      <c r="J53" s="258"/>
      <c r="K53" s="145"/>
      <c r="L53" s="145"/>
      <c r="M53" s="204"/>
      <c r="N53" s="204"/>
      <c r="O53" s="204"/>
      <c r="P53" s="204"/>
      <c r="Q53" s="180"/>
    </row>
    <row r="54" spans="1:17" s="67" customFormat="1" ht="48">
      <c r="A54" s="348">
        <f t="shared" si="0"/>
        <v>40</v>
      </c>
      <c r="B54" s="348" t="s">
        <v>149</v>
      </c>
      <c r="C54" s="423" t="s">
        <v>574</v>
      </c>
      <c r="D54" s="348" t="s">
        <v>80</v>
      </c>
      <c r="E54" s="491">
        <v>5</v>
      </c>
      <c r="F54" s="156"/>
      <c r="G54" s="143"/>
      <c r="H54" s="145"/>
      <c r="I54" s="145"/>
      <c r="J54" s="258"/>
      <c r="K54" s="145"/>
      <c r="L54" s="145"/>
      <c r="M54" s="204"/>
      <c r="N54" s="204"/>
      <c r="O54" s="204"/>
      <c r="P54" s="204"/>
      <c r="Q54" s="180"/>
    </row>
    <row r="55" spans="1:17" s="67" customFormat="1" ht="48">
      <c r="A55" s="348">
        <f t="shared" si="0"/>
        <v>41</v>
      </c>
      <c r="B55" s="348" t="s">
        <v>149</v>
      </c>
      <c r="C55" s="423" t="s">
        <v>575</v>
      </c>
      <c r="D55" s="348" t="s">
        <v>80</v>
      </c>
      <c r="E55" s="491">
        <v>9</v>
      </c>
      <c r="F55" s="156"/>
      <c r="G55" s="143"/>
      <c r="H55" s="145"/>
      <c r="I55" s="145"/>
      <c r="J55" s="258"/>
      <c r="K55" s="145"/>
      <c r="L55" s="145"/>
      <c r="M55" s="204"/>
      <c r="N55" s="204"/>
      <c r="O55" s="204"/>
      <c r="P55" s="204"/>
      <c r="Q55" s="180"/>
    </row>
    <row r="56" spans="1:17" s="67" customFormat="1" ht="48">
      <c r="A56" s="348">
        <f t="shared" si="0"/>
        <v>42</v>
      </c>
      <c r="B56" s="348" t="s">
        <v>149</v>
      </c>
      <c r="C56" s="423" t="s">
        <v>576</v>
      </c>
      <c r="D56" s="348" t="s">
        <v>80</v>
      </c>
      <c r="E56" s="491">
        <v>5</v>
      </c>
      <c r="F56" s="156"/>
      <c r="G56" s="143"/>
      <c r="H56" s="145"/>
      <c r="I56" s="145"/>
      <c r="J56" s="258"/>
      <c r="K56" s="145"/>
      <c r="L56" s="145"/>
      <c r="M56" s="204"/>
      <c r="N56" s="204"/>
      <c r="O56" s="204"/>
      <c r="P56" s="204"/>
      <c r="Q56" s="180"/>
    </row>
    <row r="57" spans="1:17" s="67" customFormat="1" ht="48">
      <c r="A57" s="380">
        <f t="shared" si="0"/>
        <v>43</v>
      </c>
      <c r="B57" s="380" t="s">
        <v>149</v>
      </c>
      <c r="C57" s="427" t="s">
        <v>577</v>
      </c>
      <c r="D57" s="380" t="s">
        <v>80</v>
      </c>
      <c r="E57" s="506">
        <v>1</v>
      </c>
      <c r="F57" s="160"/>
      <c r="G57" s="159"/>
      <c r="H57" s="150"/>
      <c r="I57" s="150"/>
      <c r="J57" s="260"/>
      <c r="K57" s="150"/>
      <c r="L57" s="150"/>
      <c r="M57" s="207"/>
      <c r="N57" s="207"/>
      <c r="O57" s="207"/>
      <c r="P57" s="207"/>
      <c r="Q57" s="180"/>
    </row>
    <row r="58" spans="1:17" s="67" customFormat="1">
      <c r="A58" s="370"/>
      <c r="B58" s="370"/>
      <c r="C58" s="502" t="s">
        <v>578</v>
      </c>
      <c r="D58" s="370"/>
      <c r="E58" s="504"/>
      <c r="F58" s="223"/>
      <c r="G58" s="222"/>
      <c r="H58" s="135"/>
      <c r="I58" s="135"/>
      <c r="J58" s="259"/>
      <c r="K58" s="135"/>
      <c r="L58" s="135"/>
      <c r="M58" s="136"/>
      <c r="N58" s="136"/>
      <c r="O58" s="136"/>
      <c r="P58" s="136"/>
      <c r="Q58" s="180"/>
    </row>
    <row r="59" spans="1:17" s="67" customFormat="1">
      <c r="A59" s="385">
        <f>A57+1</f>
        <v>44</v>
      </c>
      <c r="B59" s="385" t="s">
        <v>149</v>
      </c>
      <c r="C59" s="428" t="s">
        <v>579</v>
      </c>
      <c r="D59" s="385" t="s">
        <v>80</v>
      </c>
      <c r="E59" s="507">
        <v>1</v>
      </c>
      <c r="F59" s="163"/>
      <c r="G59" s="161"/>
      <c r="H59" s="146"/>
      <c r="I59" s="146"/>
      <c r="J59" s="220"/>
      <c r="K59" s="146"/>
      <c r="L59" s="146"/>
      <c r="M59" s="205"/>
      <c r="N59" s="205"/>
      <c r="O59" s="205"/>
      <c r="P59" s="205"/>
      <c r="Q59" s="180"/>
    </row>
    <row r="60" spans="1:17" s="67" customFormat="1">
      <c r="A60" s="348">
        <f>A59+1</f>
        <v>45</v>
      </c>
      <c r="B60" s="348" t="s">
        <v>149</v>
      </c>
      <c r="C60" s="423" t="s">
        <v>580</v>
      </c>
      <c r="D60" s="348" t="s">
        <v>80</v>
      </c>
      <c r="E60" s="491">
        <v>3</v>
      </c>
      <c r="F60" s="156"/>
      <c r="G60" s="143"/>
      <c r="H60" s="145"/>
      <c r="I60" s="145"/>
      <c r="J60" s="258"/>
      <c r="K60" s="145"/>
      <c r="L60" s="145"/>
      <c r="M60" s="204"/>
      <c r="N60" s="204"/>
      <c r="O60" s="204"/>
      <c r="P60" s="204"/>
      <c r="Q60" s="180"/>
    </row>
    <row r="61" spans="1:17" s="67" customFormat="1">
      <c r="A61" s="348">
        <f>A60+1</f>
        <v>46</v>
      </c>
      <c r="B61" s="348" t="s">
        <v>149</v>
      </c>
      <c r="C61" s="423" t="s">
        <v>581</v>
      </c>
      <c r="D61" s="348" t="s">
        <v>80</v>
      </c>
      <c r="E61" s="491">
        <v>10</v>
      </c>
      <c r="F61" s="156"/>
      <c r="G61" s="143"/>
      <c r="H61" s="145"/>
      <c r="I61" s="145"/>
      <c r="J61" s="258"/>
      <c r="K61" s="145"/>
      <c r="L61" s="145"/>
      <c r="M61" s="204"/>
      <c r="N61" s="204"/>
      <c r="O61" s="204"/>
      <c r="P61" s="204"/>
      <c r="Q61" s="180"/>
    </row>
    <row r="62" spans="1:17" s="67" customFormat="1">
      <c r="A62" s="348">
        <f>A61+1</f>
        <v>47</v>
      </c>
      <c r="B62" s="348" t="s">
        <v>149</v>
      </c>
      <c r="C62" s="423" t="s">
        <v>582</v>
      </c>
      <c r="D62" s="348" t="s">
        <v>80</v>
      </c>
      <c r="E62" s="491">
        <v>2</v>
      </c>
      <c r="F62" s="156"/>
      <c r="G62" s="143"/>
      <c r="H62" s="145"/>
      <c r="I62" s="145"/>
      <c r="J62" s="258"/>
      <c r="K62" s="145"/>
      <c r="L62" s="145"/>
      <c r="M62" s="204"/>
      <c r="N62" s="204"/>
      <c r="O62" s="204"/>
      <c r="P62" s="204"/>
      <c r="Q62" s="180"/>
    </row>
    <row r="63" spans="1:17" s="67" customFormat="1" ht="24">
      <c r="A63" s="380">
        <f>A62+1</f>
        <v>48</v>
      </c>
      <c r="B63" s="380" t="s">
        <v>149</v>
      </c>
      <c r="C63" s="427" t="s">
        <v>583</v>
      </c>
      <c r="D63" s="380" t="s">
        <v>80</v>
      </c>
      <c r="E63" s="506">
        <v>1</v>
      </c>
      <c r="F63" s="160"/>
      <c r="G63" s="159"/>
      <c r="H63" s="150"/>
      <c r="I63" s="150"/>
      <c r="J63" s="260"/>
      <c r="K63" s="150"/>
      <c r="L63" s="150"/>
      <c r="M63" s="207"/>
      <c r="N63" s="207"/>
      <c r="O63" s="207"/>
      <c r="P63" s="207"/>
      <c r="Q63" s="180"/>
    </row>
    <row r="64" spans="1:17" s="67" customFormat="1">
      <c r="A64" s="370"/>
      <c r="B64" s="370"/>
      <c r="C64" s="502" t="s">
        <v>584</v>
      </c>
      <c r="D64" s="370"/>
      <c r="E64" s="504"/>
      <c r="F64" s="223"/>
      <c r="G64" s="222"/>
      <c r="H64" s="135"/>
      <c r="I64" s="135"/>
      <c r="J64" s="259"/>
      <c r="K64" s="135"/>
      <c r="L64" s="135"/>
      <c r="M64" s="136"/>
      <c r="N64" s="136"/>
      <c r="O64" s="136"/>
      <c r="P64" s="136"/>
      <c r="Q64" s="180"/>
    </row>
    <row r="65" spans="1:17" s="67" customFormat="1">
      <c r="A65" s="385">
        <f>A60+1</f>
        <v>46</v>
      </c>
      <c r="B65" s="385" t="s">
        <v>149</v>
      </c>
      <c r="C65" s="428" t="s">
        <v>585</v>
      </c>
      <c r="D65" s="385" t="s">
        <v>80</v>
      </c>
      <c r="E65" s="507">
        <v>1</v>
      </c>
      <c r="F65" s="163"/>
      <c r="G65" s="161"/>
      <c r="H65" s="146"/>
      <c r="I65" s="146"/>
      <c r="J65" s="220"/>
      <c r="K65" s="146"/>
      <c r="L65" s="146"/>
      <c r="M65" s="205"/>
      <c r="N65" s="205"/>
      <c r="O65" s="205"/>
      <c r="P65" s="205"/>
      <c r="Q65" s="180"/>
    </row>
    <row r="66" spans="1:17" s="67" customFormat="1">
      <c r="A66" s="348">
        <f>A65+1</f>
        <v>47</v>
      </c>
      <c r="B66" s="348" t="s">
        <v>149</v>
      </c>
      <c r="C66" s="423" t="s">
        <v>586</v>
      </c>
      <c r="D66" s="348" t="s">
        <v>80</v>
      </c>
      <c r="E66" s="491">
        <v>1</v>
      </c>
      <c r="F66" s="156"/>
      <c r="G66" s="143"/>
      <c r="H66" s="145"/>
      <c r="I66" s="145"/>
      <c r="J66" s="258"/>
      <c r="K66" s="145"/>
      <c r="L66" s="145"/>
      <c r="M66" s="204"/>
      <c r="N66" s="204"/>
      <c r="O66" s="204"/>
      <c r="P66" s="204"/>
      <c r="Q66" s="180"/>
    </row>
    <row r="67" spans="1:17" s="67" customFormat="1" ht="24">
      <c r="A67" s="366">
        <f>A66+1</f>
        <v>48</v>
      </c>
      <c r="B67" s="366" t="s">
        <v>149</v>
      </c>
      <c r="C67" s="503" t="s">
        <v>587</v>
      </c>
      <c r="D67" s="366" t="s">
        <v>80</v>
      </c>
      <c r="E67" s="508">
        <v>1</v>
      </c>
      <c r="F67" s="163"/>
      <c r="G67" s="161"/>
      <c r="H67" s="146"/>
      <c r="I67" s="146"/>
      <c r="J67" s="220"/>
      <c r="K67" s="146"/>
      <c r="L67" s="146"/>
      <c r="M67" s="205"/>
      <c r="N67" s="205"/>
      <c r="O67" s="205"/>
      <c r="P67" s="205"/>
      <c r="Q67" s="180"/>
    </row>
    <row r="68" spans="1:17">
      <c r="A68" s="890" t="s">
        <v>177</v>
      </c>
      <c r="B68" s="890"/>
      <c r="C68" s="890"/>
      <c r="D68" s="890"/>
      <c r="E68" s="890"/>
      <c r="F68" s="890"/>
      <c r="G68" s="890"/>
      <c r="H68" s="890"/>
      <c r="I68" s="890"/>
      <c r="J68" s="890"/>
      <c r="K68" s="890"/>
      <c r="L68" s="131">
        <f>SUM(L14:L67)</f>
        <v>0</v>
      </c>
      <c r="M68" s="131">
        <f t="shared" ref="M68:P68" si="1">SUM(M14:M67)</f>
        <v>0</v>
      </c>
      <c r="N68" s="131">
        <f t="shared" si="1"/>
        <v>0</v>
      </c>
      <c r="O68" s="131">
        <f t="shared" si="1"/>
        <v>0</v>
      </c>
      <c r="P68" s="131">
        <f t="shared" si="1"/>
        <v>0</v>
      </c>
    </row>
    <row r="69" spans="1:17" s="50" customFormat="1" collapsed="1">
      <c r="A69" s="885" t="s">
        <v>36</v>
      </c>
      <c r="B69" s="885"/>
      <c r="C69" s="1"/>
      <c r="D69" s="1"/>
      <c r="E69" s="98"/>
      <c r="F69" s="1"/>
      <c r="G69" s="1"/>
      <c r="H69" s="1"/>
      <c r="I69" s="1"/>
      <c r="J69" s="1"/>
      <c r="K69" s="1"/>
      <c r="L69" s="1"/>
      <c r="M69" s="1"/>
      <c r="N69" s="1"/>
      <c r="O69" s="1"/>
      <c r="P69" s="1"/>
    </row>
    <row r="70" spans="1:17" s="1" customFormat="1" ht="12.75" customHeight="1">
      <c r="A70" s="886" t="s">
        <v>56</v>
      </c>
      <c r="B70" s="886"/>
      <c r="C70" s="886"/>
      <c r="D70" s="886"/>
      <c r="E70" s="886"/>
      <c r="F70" s="886"/>
      <c r="G70" s="886"/>
      <c r="H70" s="886"/>
      <c r="I70" s="886"/>
      <c r="J70" s="886"/>
      <c r="K70" s="886"/>
      <c r="L70" s="886"/>
      <c r="M70" s="886"/>
      <c r="N70" s="886"/>
      <c r="O70" s="886"/>
      <c r="P70" s="886"/>
    </row>
    <row r="71" spans="1:17" s="1" customFormat="1" ht="12.75" customHeight="1">
      <c r="A71" s="910"/>
      <c r="B71" s="910"/>
      <c r="C71" s="50"/>
      <c r="D71" s="50"/>
      <c r="E71" s="103"/>
      <c r="F71" s="50"/>
      <c r="G71" s="50"/>
      <c r="H71" s="50"/>
      <c r="I71" s="50"/>
      <c r="J71" s="50"/>
      <c r="K71" s="50"/>
      <c r="L71" s="50">
        <f>Koptame!A69</f>
        <v>0</v>
      </c>
      <c r="M71" s="50"/>
      <c r="N71" s="50"/>
      <c r="O71" s="50"/>
      <c r="P71" s="50"/>
    </row>
    <row r="72" spans="1:17" s="1" customFormat="1" ht="12.75" customHeight="1">
      <c r="A72" s="906" t="s">
        <v>7</v>
      </c>
      <c r="B72" s="906"/>
      <c r="C72" s="307"/>
      <c r="D72" s="50"/>
      <c r="E72" s="103"/>
      <c r="F72" s="50"/>
      <c r="G72" s="50"/>
      <c r="H72" s="50"/>
      <c r="I72" s="50"/>
      <c r="J72" s="50"/>
      <c r="K72" s="50"/>
      <c r="L72" s="307"/>
      <c r="M72" s="887">
        <f>Koptame!B70</f>
        <v>0</v>
      </c>
      <c r="N72" s="887"/>
      <c r="O72" s="50"/>
      <c r="P72" s="50"/>
    </row>
    <row r="73" spans="1:17" s="1" customFormat="1" ht="12.75" customHeight="1">
      <c r="B73" s="58"/>
      <c r="E73" s="98"/>
    </row>
    <row r="74" spans="1:17" s="50" customFormat="1">
      <c r="E74" s="103"/>
    </row>
    <row r="75" spans="1:17" s="50" customFormat="1">
      <c r="C75" s="307"/>
      <c r="E75" s="103"/>
      <c r="L75" s="307"/>
      <c r="M75" s="887"/>
      <c r="N75" s="887"/>
    </row>
    <row r="76" spans="1:17" s="50" customFormat="1">
      <c r="C76" s="305"/>
      <c r="E76" s="103"/>
      <c r="L76" s="305"/>
      <c r="M76" s="878"/>
      <c r="N76" s="878"/>
    </row>
    <row r="77" spans="1:17" s="50" customFormat="1" collapsed="1">
      <c r="B77" s="87"/>
      <c r="E77" s="103"/>
      <c r="F77" s="87"/>
      <c r="G77" s="87"/>
    </row>
  </sheetData>
  <mergeCells count="27">
    <mergeCell ref="M76:N76"/>
    <mergeCell ref="A70:P70"/>
    <mergeCell ref="A71:B71"/>
    <mergeCell ref="A72:B72"/>
    <mergeCell ref="M72:N72"/>
    <mergeCell ref="F10:K10"/>
    <mergeCell ref="L10:P10"/>
    <mergeCell ref="C4:P4"/>
    <mergeCell ref="A5:B5"/>
    <mergeCell ref="M75:N75"/>
    <mergeCell ref="A68:K68"/>
    <mergeCell ref="A69:B69"/>
    <mergeCell ref="A10:A11"/>
    <mergeCell ref="B10:B11"/>
    <mergeCell ref="C10:C11"/>
    <mergeCell ref="D10:D11"/>
    <mergeCell ref="E10:E11"/>
    <mergeCell ref="A1:P1"/>
    <mergeCell ref="A6:B6"/>
    <mergeCell ref="C6:P6"/>
    <mergeCell ref="A7:B7"/>
    <mergeCell ref="C7:P7"/>
    <mergeCell ref="C5:P5"/>
    <mergeCell ref="A2:P2"/>
    <mergeCell ref="A3:B3"/>
    <mergeCell ref="C3:P3"/>
    <mergeCell ref="A4:B4"/>
  </mergeCells>
  <conditionalFormatting sqref="C67">
    <cfRule type="expression" priority="1" stopIfTrue="1">
      <formula>#REF!</formula>
    </cfRule>
  </conditionalFormatting>
  <conditionalFormatting sqref="C13">
    <cfRule type="expression" priority="112" stopIfTrue="1">
      <formula>#REF!</formula>
    </cfRule>
  </conditionalFormatting>
  <conditionalFormatting sqref="C13">
    <cfRule type="expression" priority="111" stopIfTrue="1">
      <formula>#REF!</formula>
    </cfRule>
  </conditionalFormatting>
  <conditionalFormatting sqref="C40">
    <cfRule type="expression" priority="108" stopIfTrue="1">
      <formula>#REF!</formula>
    </cfRule>
  </conditionalFormatting>
  <conditionalFormatting sqref="C40">
    <cfRule type="expression" priority="107" stopIfTrue="1">
      <formula>#REF!</formula>
    </cfRule>
  </conditionalFormatting>
  <conditionalFormatting sqref="C14">
    <cfRule type="expression" priority="106" stopIfTrue="1">
      <formula>#REF!</formula>
    </cfRule>
  </conditionalFormatting>
  <conditionalFormatting sqref="C14">
    <cfRule type="expression" priority="105" stopIfTrue="1">
      <formula>#REF!</formula>
    </cfRule>
  </conditionalFormatting>
  <conditionalFormatting sqref="C18">
    <cfRule type="expression" priority="104" stopIfTrue="1">
      <formula>#REF!</formula>
    </cfRule>
  </conditionalFormatting>
  <conditionalFormatting sqref="C18">
    <cfRule type="expression" priority="103" stopIfTrue="1">
      <formula>#REF!</formula>
    </cfRule>
  </conditionalFormatting>
  <conditionalFormatting sqref="C20">
    <cfRule type="expression" priority="102" stopIfTrue="1">
      <formula>#REF!</formula>
    </cfRule>
  </conditionalFormatting>
  <conditionalFormatting sqref="C20">
    <cfRule type="expression" priority="101" stopIfTrue="1">
      <formula>#REF!</formula>
    </cfRule>
  </conditionalFormatting>
  <conditionalFormatting sqref="C43">
    <cfRule type="expression" priority="98" stopIfTrue="1">
      <formula>#REF!</formula>
    </cfRule>
  </conditionalFormatting>
  <conditionalFormatting sqref="C43">
    <cfRule type="expression" priority="97" stopIfTrue="1">
      <formula>#REF!</formula>
    </cfRule>
  </conditionalFormatting>
  <conditionalFormatting sqref="C41">
    <cfRule type="expression" priority="100" stopIfTrue="1">
      <formula>#REF!</formula>
    </cfRule>
  </conditionalFormatting>
  <conditionalFormatting sqref="C41">
    <cfRule type="expression" priority="99" stopIfTrue="1">
      <formula>#REF!</formula>
    </cfRule>
  </conditionalFormatting>
  <conditionalFormatting sqref="C45">
    <cfRule type="expression" priority="96" stopIfTrue="1">
      <formula>#REF!</formula>
    </cfRule>
  </conditionalFormatting>
  <conditionalFormatting sqref="C45">
    <cfRule type="expression" priority="95" stopIfTrue="1">
      <formula>#REF!</formula>
    </cfRule>
  </conditionalFormatting>
  <conditionalFormatting sqref="C48">
    <cfRule type="expression" priority="90" stopIfTrue="1">
      <formula>#REF!</formula>
    </cfRule>
  </conditionalFormatting>
  <conditionalFormatting sqref="C48">
    <cfRule type="expression" priority="89" stopIfTrue="1">
      <formula>#REF!</formula>
    </cfRule>
  </conditionalFormatting>
  <conditionalFormatting sqref="C49">
    <cfRule type="expression" priority="88" stopIfTrue="1">
      <formula>#REF!</formula>
    </cfRule>
  </conditionalFormatting>
  <conditionalFormatting sqref="C49">
    <cfRule type="expression" priority="87" stopIfTrue="1">
      <formula>#REF!</formula>
    </cfRule>
  </conditionalFormatting>
  <conditionalFormatting sqref="C50">
    <cfRule type="expression" priority="86" stopIfTrue="1">
      <formula>#REF!</formula>
    </cfRule>
  </conditionalFormatting>
  <conditionalFormatting sqref="C50">
    <cfRule type="expression" priority="85" stopIfTrue="1">
      <formula>#REF!</formula>
    </cfRule>
  </conditionalFormatting>
  <conditionalFormatting sqref="C47">
    <cfRule type="expression" priority="92" stopIfTrue="1">
      <formula>#REF!</formula>
    </cfRule>
  </conditionalFormatting>
  <conditionalFormatting sqref="C47">
    <cfRule type="expression" priority="91" stopIfTrue="1">
      <formula>#REF!</formula>
    </cfRule>
  </conditionalFormatting>
  <conditionalFormatting sqref="C51">
    <cfRule type="expression" priority="84" stopIfTrue="1">
      <formula>#REF!</formula>
    </cfRule>
  </conditionalFormatting>
  <conditionalFormatting sqref="C51">
    <cfRule type="expression" priority="83" stopIfTrue="1">
      <formula>#REF!</formula>
    </cfRule>
  </conditionalFormatting>
  <conditionalFormatting sqref="C54">
    <cfRule type="expression" priority="78" stopIfTrue="1">
      <formula>#REF!</formula>
    </cfRule>
  </conditionalFormatting>
  <conditionalFormatting sqref="C54">
    <cfRule type="expression" priority="77" stopIfTrue="1">
      <formula>#REF!</formula>
    </cfRule>
  </conditionalFormatting>
  <conditionalFormatting sqref="C46">
    <cfRule type="expression" priority="94" stopIfTrue="1">
      <formula>#REF!</formula>
    </cfRule>
  </conditionalFormatting>
  <conditionalFormatting sqref="C46">
    <cfRule type="expression" priority="93" stopIfTrue="1">
      <formula>#REF!</formula>
    </cfRule>
  </conditionalFormatting>
  <conditionalFormatting sqref="C56">
    <cfRule type="expression" priority="74" stopIfTrue="1">
      <formula>#REF!</formula>
    </cfRule>
  </conditionalFormatting>
  <conditionalFormatting sqref="C56">
    <cfRule type="expression" priority="73" stopIfTrue="1">
      <formula>#REF!</formula>
    </cfRule>
  </conditionalFormatting>
  <conditionalFormatting sqref="C57">
    <cfRule type="expression" priority="72" stopIfTrue="1">
      <formula>#REF!</formula>
    </cfRule>
  </conditionalFormatting>
  <conditionalFormatting sqref="C57">
    <cfRule type="expression" priority="71" stopIfTrue="1">
      <formula>#REF!</formula>
    </cfRule>
  </conditionalFormatting>
  <conditionalFormatting sqref="C53">
    <cfRule type="expression" priority="80" stopIfTrue="1">
      <formula>#REF!</formula>
    </cfRule>
  </conditionalFormatting>
  <conditionalFormatting sqref="C53">
    <cfRule type="expression" priority="79" stopIfTrue="1">
      <formula>#REF!</formula>
    </cfRule>
  </conditionalFormatting>
  <conditionalFormatting sqref="C59">
    <cfRule type="expression" priority="68" stopIfTrue="1">
      <formula>#REF!</formula>
    </cfRule>
  </conditionalFormatting>
  <conditionalFormatting sqref="C59">
    <cfRule type="expression" priority="67" stopIfTrue="1">
      <formula>#REF!</formula>
    </cfRule>
  </conditionalFormatting>
  <conditionalFormatting sqref="C52">
    <cfRule type="expression" priority="82" stopIfTrue="1">
      <formula>#REF!</formula>
    </cfRule>
  </conditionalFormatting>
  <conditionalFormatting sqref="C52">
    <cfRule type="expression" priority="81" stopIfTrue="1">
      <formula>#REF!</formula>
    </cfRule>
  </conditionalFormatting>
  <conditionalFormatting sqref="C55">
    <cfRule type="expression" priority="76" stopIfTrue="1">
      <formula>#REF!</formula>
    </cfRule>
  </conditionalFormatting>
  <conditionalFormatting sqref="C55">
    <cfRule type="expression" priority="75" stopIfTrue="1">
      <formula>#REF!</formula>
    </cfRule>
  </conditionalFormatting>
  <conditionalFormatting sqref="C60">
    <cfRule type="expression" priority="66" stopIfTrue="1">
      <formula>#REF!</formula>
    </cfRule>
  </conditionalFormatting>
  <conditionalFormatting sqref="C60">
    <cfRule type="expression" priority="65" stopIfTrue="1">
      <formula>#REF!</formula>
    </cfRule>
  </conditionalFormatting>
  <conditionalFormatting sqref="C64">
    <cfRule type="expression" priority="64" stopIfTrue="1">
      <formula>#REF!</formula>
    </cfRule>
  </conditionalFormatting>
  <conditionalFormatting sqref="C64">
    <cfRule type="expression" priority="63" stopIfTrue="1">
      <formula>#REF!</formula>
    </cfRule>
  </conditionalFormatting>
  <conditionalFormatting sqref="C15">
    <cfRule type="expression" priority="60" stopIfTrue="1">
      <formula>#REF!</formula>
    </cfRule>
  </conditionalFormatting>
  <conditionalFormatting sqref="C15">
    <cfRule type="expression" priority="59" stopIfTrue="1">
      <formula>#REF!</formula>
    </cfRule>
  </conditionalFormatting>
  <conditionalFormatting sqref="C19">
    <cfRule type="expression" priority="54" stopIfTrue="1">
      <formula>#REF!</formula>
    </cfRule>
  </conditionalFormatting>
  <conditionalFormatting sqref="C19">
    <cfRule type="expression" priority="53" stopIfTrue="1">
      <formula>#REF!</formula>
    </cfRule>
  </conditionalFormatting>
  <conditionalFormatting sqref="C58">
    <cfRule type="expression" priority="70" stopIfTrue="1">
      <formula>#REF!</formula>
    </cfRule>
  </conditionalFormatting>
  <conditionalFormatting sqref="C58">
    <cfRule type="expression" priority="69" stopIfTrue="1">
      <formula>#REF!</formula>
    </cfRule>
  </conditionalFormatting>
  <conditionalFormatting sqref="C21">
    <cfRule type="expression" priority="52" stopIfTrue="1">
      <formula>#REF!</formula>
    </cfRule>
  </conditionalFormatting>
  <conditionalFormatting sqref="C21">
    <cfRule type="expression" priority="51" stopIfTrue="1">
      <formula>#REF!</formula>
    </cfRule>
  </conditionalFormatting>
  <conditionalFormatting sqref="C65">
    <cfRule type="expression" priority="62" stopIfTrue="1">
      <formula>#REF!</formula>
    </cfRule>
  </conditionalFormatting>
  <conditionalFormatting sqref="C65">
    <cfRule type="expression" priority="61" stopIfTrue="1">
      <formula>#REF!</formula>
    </cfRule>
  </conditionalFormatting>
  <conditionalFormatting sqref="C16">
    <cfRule type="expression" priority="58" stopIfTrue="1">
      <formula>#REF!</formula>
    </cfRule>
  </conditionalFormatting>
  <conditionalFormatting sqref="C16">
    <cfRule type="expression" priority="57" stopIfTrue="1">
      <formula>#REF!</formula>
    </cfRule>
  </conditionalFormatting>
  <conditionalFormatting sqref="C17">
    <cfRule type="expression" priority="56" stopIfTrue="1">
      <formula>#REF!</formula>
    </cfRule>
  </conditionalFormatting>
  <conditionalFormatting sqref="C17">
    <cfRule type="expression" priority="55" stopIfTrue="1">
      <formula>#REF!</formula>
    </cfRule>
  </conditionalFormatting>
  <conditionalFormatting sqref="C22">
    <cfRule type="expression" priority="50" stopIfTrue="1">
      <formula>#REF!</formula>
    </cfRule>
  </conditionalFormatting>
  <conditionalFormatting sqref="C22">
    <cfRule type="expression" priority="49" stopIfTrue="1">
      <formula>#REF!</formula>
    </cfRule>
  </conditionalFormatting>
  <conditionalFormatting sqref="C25">
    <cfRule type="expression" priority="44" stopIfTrue="1">
      <formula>#REF!</formula>
    </cfRule>
  </conditionalFormatting>
  <conditionalFormatting sqref="C25">
    <cfRule type="expression" priority="43" stopIfTrue="1">
      <formula>#REF!</formula>
    </cfRule>
  </conditionalFormatting>
  <conditionalFormatting sqref="C23">
    <cfRule type="expression" priority="48" stopIfTrue="1">
      <formula>#REF!</formula>
    </cfRule>
  </conditionalFormatting>
  <conditionalFormatting sqref="C23">
    <cfRule type="expression" priority="47" stopIfTrue="1">
      <formula>#REF!</formula>
    </cfRule>
  </conditionalFormatting>
  <conditionalFormatting sqref="C24">
    <cfRule type="expression" priority="46" stopIfTrue="1">
      <formula>#REF!</formula>
    </cfRule>
  </conditionalFormatting>
  <conditionalFormatting sqref="C24">
    <cfRule type="expression" priority="45" stopIfTrue="1">
      <formula>#REF!</formula>
    </cfRule>
  </conditionalFormatting>
  <conditionalFormatting sqref="C27">
    <cfRule type="expression" priority="40" stopIfTrue="1">
      <formula>#REF!</formula>
    </cfRule>
  </conditionalFormatting>
  <conditionalFormatting sqref="C27">
    <cfRule type="expression" priority="39" stopIfTrue="1">
      <formula>#REF!</formula>
    </cfRule>
  </conditionalFormatting>
  <conditionalFormatting sqref="C28">
    <cfRule type="expression" priority="38" stopIfTrue="1">
      <formula>#REF!</formula>
    </cfRule>
  </conditionalFormatting>
  <conditionalFormatting sqref="C28">
    <cfRule type="expression" priority="37" stopIfTrue="1">
      <formula>#REF!</formula>
    </cfRule>
  </conditionalFormatting>
  <conditionalFormatting sqref="C26">
    <cfRule type="expression" priority="42" stopIfTrue="1">
      <formula>#REF!</formula>
    </cfRule>
  </conditionalFormatting>
  <conditionalFormatting sqref="C26">
    <cfRule type="expression" priority="41" stopIfTrue="1">
      <formula>#REF!</formula>
    </cfRule>
  </conditionalFormatting>
  <conditionalFormatting sqref="C30">
    <cfRule type="expression" priority="34" stopIfTrue="1">
      <formula>#REF!</formula>
    </cfRule>
  </conditionalFormatting>
  <conditionalFormatting sqref="C30">
    <cfRule type="expression" priority="33" stopIfTrue="1">
      <formula>#REF!</formula>
    </cfRule>
  </conditionalFormatting>
  <conditionalFormatting sqref="C31">
    <cfRule type="expression" priority="32" stopIfTrue="1">
      <formula>#REF!</formula>
    </cfRule>
  </conditionalFormatting>
  <conditionalFormatting sqref="C31">
    <cfRule type="expression" priority="31" stopIfTrue="1">
      <formula>#REF!</formula>
    </cfRule>
  </conditionalFormatting>
  <conditionalFormatting sqref="C32">
    <cfRule type="expression" priority="30" stopIfTrue="1">
      <formula>#REF!</formula>
    </cfRule>
  </conditionalFormatting>
  <conditionalFormatting sqref="C32">
    <cfRule type="expression" priority="29" stopIfTrue="1">
      <formula>#REF!</formula>
    </cfRule>
  </conditionalFormatting>
  <conditionalFormatting sqref="C29">
    <cfRule type="expression" priority="36" stopIfTrue="1">
      <formula>#REF!</formula>
    </cfRule>
  </conditionalFormatting>
  <conditionalFormatting sqref="C29">
    <cfRule type="expression" priority="35" stopIfTrue="1">
      <formula>#REF!</formula>
    </cfRule>
  </conditionalFormatting>
  <conditionalFormatting sqref="C33">
    <cfRule type="expression" priority="28" stopIfTrue="1">
      <formula>#REF!</formula>
    </cfRule>
  </conditionalFormatting>
  <conditionalFormatting sqref="C33">
    <cfRule type="expression" priority="27" stopIfTrue="1">
      <formula>#REF!</formula>
    </cfRule>
  </conditionalFormatting>
  <conditionalFormatting sqref="C35">
    <cfRule type="expression" priority="24" stopIfTrue="1">
      <formula>#REF!</formula>
    </cfRule>
  </conditionalFormatting>
  <conditionalFormatting sqref="C35">
    <cfRule type="expression" priority="23" stopIfTrue="1">
      <formula>#REF!</formula>
    </cfRule>
  </conditionalFormatting>
  <conditionalFormatting sqref="C37">
    <cfRule type="expression" priority="20" stopIfTrue="1">
      <formula>#REF!</formula>
    </cfRule>
  </conditionalFormatting>
  <conditionalFormatting sqref="C37">
    <cfRule type="expression" priority="19" stopIfTrue="1">
      <formula>#REF!</formula>
    </cfRule>
  </conditionalFormatting>
  <conditionalFormatting sqref="C38">
    <cfRule type="expression" priority="18" stopIfTrue="1">
      <formula>#REF!</formula>
    </cfRule>
  </conditionalFormatting>
  <conditionalFormatting sqref="C38">
    <cfRule type="expression" priority="17" stopIfTrue="1">
      <formula>#REF!</formula>
    </cfRule>
  </conditionalFormatting>
  <conditionalFormatting sqref="C34">
    <cfRule type="expression" priority="26" stopIfTrue="1">
      <formula>#REF!</formula>
    </cfRule>
  </conditionalFormatting>
  <conditionalFormatting sqref="C34">
    <cfRule type="expression" priority="25" stopIfTrue="1">
      <formula>#REF!</formula>
    </cfRule>
  </conditionalFormatting>
  <conditionalFormatting sqref="C36">
    <cfRule type="expression" priority="22" stopIfTrue="1">
      <formula>#REF!</formula>
    </cfRule>
  </conditionalFormatting>
  <conditionalFormatting sqref="C36">
    <cfRule type="expression" priority="21" stopIfTrue="1">
      <formula>#REF!</formula>
    </cfRule>
  </conditionalFormatting>
  <conditionalFormatting sqref="C39">
    <cfRule type="expression" priority="16" stopIfTrue="1">
      <formula>#REF!</formula>
    </cfRule>
  </conditionalFormatting>
  <conditionalFormatting sqref="C39">
    <cfRule type="expression" priority="15" stopIfTrue="1">
      <formula>#REF!</formula>
    </cfRule>
  </conditionalFormatting>
  <conditionalFormatting sqref="C42">
    <cfRule type="expression" priority="14" stopIfTrue="1">
      <formula>#REF!</formula>
    </cfRule>
  </conditionalFormatting>
  <conditionalFormatting sqref="C42">
    <cfRule type="expression" priority="13" stopIfTrue="1">
      <formula>#REF!</formula>
    </cfRule>
  </conditionalFormatting>
  <conditionalFormatting sqref="C44">
    <cfRule type="expression" priority="12" stopIfTrue="1">
      <formula>#REF!</formula>
    </cfRule>
  </conditionalFormatting>
  <conditionalFormatting sqref="C44">
    <cfRule type="expression" priority="11" stopIfTrue="1">
      <formula>#REF!</formula>
    </cfRule>
  </conditionalFormatting>
  <conditionalFormatting sqref="C61">
    <cfRule type="expression" priority="10" stopIfTrue="1">
      <formula>#REF!</formula>
    </cfRule>
  </conditionalFormatting>
  <conditionalFormatting sqref="C61">
    <cfRule type="expression" priority="9" stopIfTrue="1">
      <formula>#REF!</formula>
    </cfRule>
  </conditionalFormatting>
  <conditionalFormatting sqref="C62">
    <cfRule type="expression" priority="8" stopIfTrue="1">
      <formula>#REF!</formula>
    </cfRule>
  </conditionalFormatting>
  <conditionalFormatting sqref="C62">
    <cfRule type="expression" priority="7" stopIfTrue="1">
      <formula>#REF!</formula>
    </cfRule>
  </conditionalFormatting>
  <conditionalFormatting sqref="C63">
    <cfRule type="expression" priority="6" stopIfTrue="1">
      <formula>#REF!</formula>
    </cfRule>
  </conditionalFormatting>
  <conditionalFormatting sqref="C63">
    <cfRule type="expression" priority="5" stopIfTrue="1">
      <formula>#REF!</formula>
    </cfRule>
  </conditionalFormatting>
  <conditionalFormatting sqref="C66">
    <cfRule type="expression" priority="4" stopIfTrue="1">
      <formula>#REF!</formula>
    </cfRule>
  </conditionalFormatting>
  <conditionalFormatting sqref="C66">
    <cfRule type="expression" priority="3" stopIfTrue="1">
      <formula>#REF!</formula>
    </cfRule>
  </conditionalFormatting>
  <conditionalFormatting sqref="C67">
    <cfRule type="expression" priority="2"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Q131"/>
  <sheetViews>
    <sheetView showZeros="0" zoomScale="75" zoomScaleNormal="75" workbookViewId="0">
      <selection activeCell="E12" sqref="E12"/>
    </sheetView>
  </sheetViews>
  <sheetFormatPr defaultColWidth="9.140625" defaultRowHeight="15"/>
  <cols>
    <col min="1" max="1" width="8.85546875" style="60" customWidth="1"/>
    <col min="2" max="2" width="11.7109375" style="60" customWidth="1"/>
    <col min="3" max="3" width="45.5703125" style="88" customWidth="1"/>
    <col min="4" max="4" width="8.7109375" style="60" customWidth="1"/>
    <col min="5" max="5" width="8.7109375" style="102" customWidth="1"/>
    <col min="6" max="11" width="8.7109375" style="60" customWidth="1"/>
    <col min="12" max="16" width="12.7109375" style="60" customWidth="1"/>
    <col min="17" max="17" width="9.140625" style="186"/>
    <col min="18" max="16384" width="9.140625" style="60"/>
  </cols>
  <sheetData>
    <row r="1" spans="1:17" s="59" customFormat="1" ht="15.75">
      <c r="A1" s="909" t="s">
        <v>99</v>
      </c>
      <c r="B1" s="909"/>
      <c r="C1" s="909"/>
      <c r="D1" s="909"/>
      <c r="E1" s="909"/>
      <c r="F1" s="909"/>
      <c r="G1" s="909"/>
      <c r="H1" s="909"/>
      <c r="I1" s="909"/>
      <c r="J1" s="909"/>
      <c r="K1" s="909"/>
      <c r="L1" s="909"/>
      <c r="M1" s="909"/>
      <c r="N1" s="909"/>
      <c r="O1" s="909"/>
      <c r="P1" s="909"/>
      <c r="Q1" s="191"/>
    </row>
    <row r="2" spans="1:17" s="59" customFormat="1" ht="15.75">
      <c r="A2" s="899" t="s">
        <v>143</v>
      </c>
      <c r="B2" s="899"/>
      <c r="C2" s="899"/>
      <c r="D2" s="899"/>
      <c r="E2" s="899"/>
      <c r="F2" s="899"/>
      <c r="G2" s="899"/>
      <c r="H2" s="899"/>
      <c r="I2" s="899"/>
      <c r="J2" s="899"/>
      <c r="K2" s="899"/>
      <c r="L2" s="899"/>
      <c r="M2" s="899"/>
      <c r="N2" s="899"/>
      <c r="O2" s="899"/>
      <c r="P2" s="899"/>
      <c r="Q2" s="191"/>
    </row>
    <row r="3" spans="1:17" s="59" customFormat="1" ht="15.75">
      <c r="A3" s="876" t="s">
        <v>10</v>
      </c>
      <c r="B3" s="876"/>
      <c r="C3" s="859" t="s">
        <v>117</v>
      </c>
      <c r="D3" s="859"/>
      <c r="E3" s="859"/>
      <c r="F3" s="859"/>
      <c r="G3" s="859"/>
      <c r="H3" s="859"/>
      <c r="I3" s="859"/>
      <c r="J3" s="859"/>
      <c r="K3" s="859"/>
      <c r="L3" s="859"/>
      <c r="M3" s="859"/>
      <c r="N3" s="859"/>
      <c r="O3" s="859"/>
      <c r="P3" s="859"/>
      <c r="Q3" s="191"/>
    </row>
    <row r="4" spans="1:17" s="59" customFormat="1" ht="15.75">
      <c r="A4" s="876" t="s">
        <v>11</v>
      </c>
      <c r="B4" s="876"/>
      <c r="C4" s="859" t="s">
        <v>118</v>
      </c>
      <c r="D4" s="859"/>
      <c r="E4" s="859"/>
      <c r="F4" s="859"/>
      <c r="G4" s="859"/>
      <c r="H4" s="859"/>
      <c r="I4" s="859"/>
      <c r="J4" s="859"/>
      <c r="K4" s="859"/>
      <c r="L4" s="859"/>
      <c r="M4" s="859"/>
      <c r="N4" s="859"/>
      <c r="O4" s="859"/>
      <c r="P4" s="859"/>
      <c r="Q4" s="191"/>
    </row>
    <row r="5" spans="1:17" s="59" customFormat="1" ht="15.75">
      <c r="A5" s="876" t="s">
        <v>12</v>
      </c>
      <c r="B5" s="876"/>
      <c r="C5" s="859" t="s">
        <v>50</v>
      </c>
      <c r="D5" s="859"/>
      <c r="E5" s="859"/>
      <c r="F5" s="859"/>
      <c r="G5" s="859"/>
      <c r="H5" s="859"/>
      <c r="I5" s="859"/>
      <c r="J5" s="859"/>
      <c r="K5" s="859"/>
      <c r="L5" s="859"/>
      <c r="M5" s="859"/>
      <c r="N5" s="859"/>
      <c r="O5" s="859"/>
      <c r="P5" s="859"/>
      <c r="Q5" s="191"/>
    </row>
    <row r="6" spans="1:17" s="59" customFormat="1" ht="15.75">
      <c r="A6" s="876" t="s">
        <v>30</v>
      </c>
      <c r="B6" s="876"/>
      <c r="C6" s="874"/>
      <c r="D6" s="874"/>
      <c r="E6" s="874"/>
      <c r="F6" s="874"/>
      <c r="G6" s="874"/>
      <c r="H6" s="874"/>
      <c r="I6" s="874"/>
      <c r="J6" s="874"/>
      <c r="K6" s="874"/>
      <c r="L6" s="874"/>
      <c r="M6" s="874"/>
      <c r="N6" s="874"/>
      <c r="O6" s="874"/>
      <c r="P6" s="874"/>
      <c r="Q6" s="191"/>
    </row>
    <row r="7" spans="1:17" s="59" customFormat="1" ht="15.75">
      <c r="A7" s="876" t="s">
        <v>54</v>
      </c>
      <c r="B7" s="876"/>
      <c r="C7" s="873"/>
      <c r="D7" s="873"/>
      <c r="E7" s="873"/>
      <c r="F7" s="873"/>
      <c r="G7" s="873"/>
      <c r="H7" s="873"/>
      <c r="I7" s="873"/>
      <c r="J7" s="873"/>
      <c r="K7" s="873"/>
      <c r="L7" s="873"/>
      <c r="M7" s="873"/>
      <c r="N7" s="873"/>
      <c r="O7" s="873"/>
      <c r="P7" s="873"/>
      <c r="Q7" s="191"/>
    </row>
    <row r="8" spans="1:17" s="59" customFormat="1" ht="15.75">
      <c r="E8" s="107"/>
      <c r="J8" s="73"/>
      <c r="K8" s="73"/>
      <c r="L8" s="66"/>
      <c r="M8" s="66"/>
      <c r="N8" s="74"/>
      <c r="O8" s="63" t="s">
        <v>52</v>
      </c>
      <c r="P8" s="75">
        <f>P122</f>
        <v>0</v>
      </c>
      <c r="Q8" s="191"/>
    </row>
    <row r="9" spans="1:17">
      <c r="C9" s="60"/>
    </row>
    <row r="10" spans="1:17"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7"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7">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7" s="67" customFormat="1">
      <c r="A13" s="370"/>
      <c r="B13" s="370"/>
      <c r="C13" s="502" t="s">
        <v>588</v>
      </c>
      <c r="D13" s="370"/>
      <c r="E13" s="504"/>
      <c r="F13" s="221"/>
      <c r="G13" s="222"/>
      <c r="H13" s="135"/>
      <c r="I13" s="135"/>
      <c r="J13" s="223"/>
      <c r="K13" s="135"/>
      <c r="L13" s="135"/>
      <c r="M13" s="136"/>
      <c r="N13" s="136"/>
      <c r="O13" s="136"/>
      <c r="P13" s="136"/>
      <c r="Q13" s="180"/>
    </row>
    <row r="14" spans="1:17" s="67" customFormat="1">
      <c r="A14" s="370"/>
      <c r="B14" s="370"/>
      <c r="C14" s="509" t="s">
        <v>589</v>
      </c>
      <c r="D14" s="370"/>
      <c r="E14" s="504"/>
      <c r="F14" s="221"/>
      <c r="G14" s="222"/>
      <c r="H14" s="135"/>
      <c r="I14" s="135"/>
      <c r="J14" s="223"/>
      <c r="K14" s="135"/>
      <c r="L14" s="135"/>
      <c r="M14" s="136"/>
      <c r="N14" s="136"/>
      <c r="O14" s="136"/>
      <c r="P14" s="136"/>
      <c r="Q14" s="180"/>
    </row>
    <row r="15" spans="1:17" s="67" customFormat="1" ht="24">
      <c r="A15" s="344">
        <v>1</v>
      </c>
      <c r="B15" s="344" t="s">
        <v>149</v>
      </c>
      <c r="C15" s="420" t="s">
        <v>590</v>
      </c>
      <c r="D15" s="344" t="s">
        <v>82</v>
      </c>
      <c r="E15" s="505">
        <f>276.07</f>
        <v>276.07</v>
      </c>
      <c r="F15" s="173"/>
      <c r="G15" s="174"/>
      <c r="H15" s="153"/>
      <c r="I15" s="153"/>
      <c r="J15" s="175"/>
      <c r="K15" s="153"/>
      <c r="L15" s="153"/>
      <c r="M15" s="208"/>
      <c r="N15" s="208"/>
      <c r="O15" s="208"/>
      <c r="P15" s="208"/>
      <c r="Q15" s="180"/>
    </row>
    <row r="16" spans="1:17" s="67" customFormat="1" ht="24">
      <c r="A16" s="348">
        <f>A15+1</f>
        <v>2</v>
      </c>
      <c r="B16" s="348" t="s">
        <v>149</v>
      </c>
      <c r="C16" s="423" t="s">
        <v>591</v>
      </c>
      <c r="D16" s="348" t="s">
        <v>82</v>
      </c>
      <c r="E16" s="491">
        <f>64.69</f>
        <v>64.69</v>
      </c>
      <c r="F16" s="170"/>
      <c r="G16" s="143"/>
      <c r="H16" s="145"/>
      <c r="I16" s="145"/>
      <c r="J16" s="156"/>
      <c r="K16" s="145"/>
      <c r="L16" s="145"/>
      <c r="M16" s="204"/>
      <c r="N16" s="204"/>
      <c r="O16" s="204"/>
      <c r="P16" s="204"/>
      <c r="Q16" s="180"/>
    </row>
    <row r="17" spans="1:17" s="67" customFormat="1" ht="24">
      <c r="A17" s="348">
        <f>A16+1</f>
        <v>3</v>
      </c>
      <c r="B17" s="348" t="s">
        <v>149</v>
      </c>
      <c r="C17" s="423" t="s">
        <v>592</v>
      </c>
      <c r="D17" s="348" t="s">
        <v>82</v>
      </c>
      <c r="E17" s="491">
        <f>807.22</f>
        <v>807.22</v>
      </c>
      <c r="F17" s="170"/>
      <c r="G17" s="143"/>
      <c r="H17" s="145"/>
      <c r="I17" s="145"/>
      <c r="J17" s="156"/>
      <c r="K17" s="145"/>
      <c r="L17" s="145"/>
      <c r="M17" s="204"/>
      <c r="N17" s="204"/>
      <c r="O17" s="204"/>
      <c r="P17" s="204"/>
      <c r="Q17" s="180"/>
    </row>
    <row r="18" spans="1:17" s="67" customFormat="1">
      <c r="A18" s="348">
        <f>A17+1</f>
        <v>4</v>
      </c>
      <c r="B18" s="348" t="s">
        <v>149</v>
      </c>
      <c r="C18" s="423" t="s">
        <v>593</v>
      </c>
      <c r="D18" s="348" t="s">
        <v>82</v>
      </c>
      <c r="E18" s="491">
        <f>310.58</f>
        <v>310.58</v>
      </c>
      <c r="F18" s="170"/>
      <c r="G18" s="143"/>
      <c r="H18" s="145"/>
      <c r="I18" s="145"/>
      <c r="J18" s="156"/>
      <c r="K18" s="145"/>
      <c r="L18" s="145"/>
      <c r="M18" s="204"/>
      <c r="N18" s="204"/>
      <c r="O18" s="204"/>
      <c r="P18" s="204"/>
      <c r="Q18" s="180"/>
    </row>
    <row r="19" spans="1:17" s="67" customFormat="1">
      <c r="A19" s="348">
        <f>A18+1</f>
        <v>5</v>
      </c>
      <c r="B19" s="348" t="s">
        <v>149</v>
      </c>
      <c r="C19" s="423" t="s">
        <v>594</v>
      </c>
      <c r="D19" s="348" t="s">
        <v>77</v>
      </c>
      <c r="E19" s="491">
        <v>9</v>
      </c>
      <c r="F19" s="170"/>
      <c r="G19" s="143"/>
      <c r="H19" s="145"/>
      <c r="I19" s="145"/>
      <c r="J19" s="156"/>
      <c r="K19" s="145"/>
      <c r="L19" s="145"/>
      <c r="M19" s="204"/>
      <c r="N19" s="204"/>
      <c r="O19" s="204"/>
      <c r="P19" s="204"/>
      <c r="Q19" s="180"/>
    </row>
    <row r="20" spans="1:17" s="67" customFormat="1">
      <c r="A20" s="380">
        <f>A19+1</f>
        <v>6</v>
      </c>
      <c r="B20" s="380" t="s">
        <v>149</v>
      </c>
      <c r="C20" s="427" t="s">
        <v>595</v>
      </c>
      <c r="D20" s="380" t="s">
        <v>77</v>
      </c>
      <c r="E20" s="506">
        <v>12</v>
      </c>
      <c r="F20" s="172"/>
      <c r="G20" s="159"/>
      <c r="H20" s="150"/>
      <c r="I20" s="150"/>
      <c r="J20" s="160"/>
      <c r="K20" s="150"/>
      <c r="L20" s="150"/>
      <c r="M20" s="207"/>
      <c r="N20" s="207"/>
      <c r="O20" s="207"/>
      <c r="P20" s="207"/>
      <c r="Q20" s="180"/>
    </row>
    <row r="21" spans="1:17" s="67" customFormat="1">
      <c r="A21" s="370"/>
      <c r="B21" s="370"/>
      <c r="C21" s="509" t="s">
        <v>596</v>
      </c>
      <c r="D21" s="370"/>
      <c r="E21" s="504"/>
      <c r="F21" s="221"/>
      <c r="G21" s="222"/>
      <c r="H21" s="135"/>
      <c r="I21" s="135"/>
      <c r="J21" s="223"/>
      <c r="K21" s="135"/>
      <c r="L21" s="135"/>
      <c r="M21" s="136"/>
      <c r="N21" s="136"/>
      <c r="O21" s="136"/>
      <c r="P21" s="136"/>
      <c r="Q21" s="180"/>
    </row>
    <row r="22" spans="1:17" s="67" customFormat="1" ht="24">
      <c r="A22" s="385">
        <f>A20+1</f>
        <v>7</v>
      </c>
      <c r="B22" s="385" t="s">
        <v>149</v>
      </c>
      <c r="C22" s="510" t="s">
        <v>597</v>
      </c>
      <c r="D22" s="385" t="s">
        <v>82</v>
      </c>
      <c r="E22" s="507">
        <f>265.72</f>
        <v>265.72000000000003</v>
      </c>
      <c r="F22" s="171"/>
      <c r="G22" s="161"/>
      <c r="H22" s="146"/>
      <c r="I22" s="146"/>
      <c r="J22" s="163"/>
      <c r="K22" s="146"/>
      <c r="L22" s="146"/>
      <c r="M22" s="205"/>
      <c r="N22" s="205"/>
      <c r="O22" s="205"/>
      <c r="P22" s="205"/>
      <c r="Q22" s="180"/>
    </row>
    <row r="23" spans="1:17" s="67" customFormat="1" ht="24">
      <c r="A23" s="348">
        <f>A22+1</f>
        <v>8</v>
      </c>
      <c r="B23" s="348" t="s">
        <v>149</v>
      </c>
      <c r="C23" s="490" t="s">
        <v>598</v>
      </c>
      <c r="D23" s="348" t="s">
        <v>82</v>
      </c>
      <c r="E23" s="491">
        <f>36.19</f>
        <v>36.19</v>
      </c>
      <c r="F23" s="170"/>
      <c r="G23" s="143"/>
      <c r="H23" s="145"/>
      <c r="I23" s="145"/>
      <c r="J23" s="156"/>
      <c r="K23" s="145"/>
      <c r="L23" s="145"/>
      <c r="M23" s="204"/>
      <c r="N23" s="204"/>
      <c r="O23" s="204"/>
      <c r="P23" s="204"/>
      <c r="Q23" s="180"/>
    </row>
    <row r="24" spans="1:17" s="67" customFormat="1" ht="24">
      <c r="A24" s="380">
        <f>A23+1</f>
        <v>9</v>
      </c>
      <c r="B24" s="380" t="s">
        <v>149</v>
      </c>
      <c r="C24" s="511" t="s">
        <v>599</v>
      </c>
      <c r="D24" s="380" t="s">
        <v>82</v>
      </c>
      <c r="E24" s="506">
        <f>239.56</f>
        <v>239.56</v>
      </c>
      <c r="F24" s="172"/>
      <c r="G24" s="159"/>
      <c r="H24" s="150"/>
      <c r="I24" s="150"/>
      <c r="J24" s="160"/>
      <c r="K24" s="150"/>
      <c r="L24" s="150"/>
      <c r="M24" s="207"/>
      <c r="N24" s="207"/>
      <c r="O24" s="207"/>
      <c r="P24" s="207"/>
      <c r="Q24" s="180"/>
    </row>
    <row r="25" spans="1:17" s="67" customFormat="1">
      <c r="A25" s="370"/>
      <c r="B25" s="370"/>
      <c r="C25" s="509" t="s">
        <v>600</v>
      </c>
      <c r="D25" s="370"/>
      <c r="E25" s="504"/>
      <c r="F25" s="221"/>
      <c r="G25" s="222"/>
      <c r="H25" s="135"/>
      <c r="I25" s="135"/>
      <c r="J25" s="223"/>
      <c r="K25" s="135"/>
      <c r="L25" s="135"/>
      <c r="M25" s="136"/>
      <c r="N25" s="136"/>
      <c r="O25" s="136"/>
      <c r="P25" s="136"/>
      <c r="Q25" s="180"/>
    </row>
    <row r="26" spans="1:17" s="67" customFormat="1">
      <c r="A26" s="385">
        <f>A24+1</f>
        <v>10</v>
      </c>
      <c r="B26" s="385" t="s">
        <v>149</v>
      </c>
      <c r="C26" s="386" t="s">
        <v>601</v>
      </c>
      <c r="D26" s="385" t="s">
        <v>115</v>
      </c>
      <c r="E26" s="507">
        <v>167.71</v>
      </c>
      <c r="F26" s="171"/>
      <c r="G26" s="161"/>
      <c r="H26" s="146"/>
      <c r="I26" s="146"/>
      <c r="J26" s="163"/>
      <c r="K26" s="146"/>
      <c r="L26" s="146"/>
      <c r="M26" s="205"/>
      <c r="N26" s="205"/>
      <c r="O26" s="205"/>
      <c r="P26" s="205"/>
      <c r="Q26" s="180"/>
    </row>
    <row r="27" spans="1:17" s="67" customFormat="1">
      <c r="A27" s="348">
        <f t="shared" ref="A27:A34" si="0">A26+1</f>
        <v>11</v>
      </c>
      <c r="B27" s="348" t="s">
        <v>149</v>
      </c>
      <c r="C27" s="377" t="s">
        <v>602</v>
      </c>
      <c r="D27" s="348" t="s">
        <v>115</v>
      </c>
      <c r="E27" s="491">
        <f>88.92</f>
        <v>88.92</v>
      </c>
      <c r="F27" s="170"/>
      <c r="G27" s="143"/>
      <c r="H27" s="145"/>
      <c r="I27" s="145"/>
      <c r="J27" s="156"/>
      <c r="K27" s="145"/>
      <c r="L27" s="145"/>
      <c r="M27" s="204"/>
      <c r="N27" s="204"/>
      <c r="O27" s="204"/>
      <c r="P27" s="204"/>
      <c r="Q27" s="180"/>
    </row>
    <row r="28" spans="1:17" s="67" customFormat="1">
      <c r="A28" s="348">
        <f t="shared" si="0"/>
        <v>12</v>
      </c>
      <c r="B28" s="348" t="s">
        <v>149</v>
      </c>
      <c r="C28" s="377" t="s">
        <v>603</v>
      </c>
      <c r="D28" s="348" t="s">
        <v>115</v>
      </c>
      <c r="E28" s="491">
        <f>119.8</f>
        <v>119.8</v>
      </c>
      <c r="F28" s="170"/>
      <c r="G28" s="143"/>
      <c r="H28" s="145"/>
      <c r="I28" s="145"/>
      <c r="J28" s="156"/>
      <c r="K28" s="145"/>
      <c r="L28" s="145"/>
      <c r="M28" s="204"/>
      <c r="N28" s="204"/>
      <c r="O28" s="204"/>
      <c r="P28" s="204"/>
      <c r="Q28" s="180"/>
    </row>
    <row r="29" spans="1:17" s="67" customFormat="1">
      <c r="A29" s="348">
        <f t="shared" si="0"/>
        <v>13</v>
      </c>
      <c r="B29" s="348" t="s">
        <v>149</v>
      </c>
      <c r="C29" s="377" t="s">
        <v>604</v>
      </c>
      <c r="D29" s="348" t="s">
        <v>115</v>
      </c>
      <c r="E29" s="491">
        <f>4.85</f>
        <v>4.8499999999999996</v>
      </c>
      <c r="F29" s="170"/>
      <c r="G29" s="143"/>
      <c r="H29" s="145"/>
      <c r="I29" s="145"/>
      <c r="J29" s="156"/>
      <c r="K29" s="145"/>
      <c r="L29" s="145"/>
      <c r="M29" s="204"/>
      <c r="N29" s="204"/>
      <c r="O29" s="204"/>
      <c r="P29" s="204"/>
      <c r="Q29" s="180"/>
    </row>
    <row r="30" spans="1:17" s="67" customFormat="1">
      <c r="A30" s="348">
        <f t="shared" si="0"/>
        <v>14</v>
      </c>
      <c r="B30" s="348" t="s">
        <v>149</v>
      </c>
      <c r="C30" s="423" t="s">
        <v>605</v>
      </c>
      <c r="D30" s="348" t="s">
        <v>82</v>
      </c>
      <c r="E30" s="491">
        <f>220.52</f>
        <v>220.52</v>
      </c>
      <c r="F30" s="170"/>
      <c r="G30" s="143"/>
      <c r="H30" s="145"/>
      <c r="I30" s="145"/>
      <c r="J30" s="156"/>
      <c r="K30" s="145"/>
      <c r="L30" s="145"/>
      <c r="M30" s="204"/>
      <c r="N30" s="204"/>
      <c r="O30" s="204"/>
      <c r="P30" s="204"/>
      <c r="Q30" s="180"/>
    </row>
    <row r="31" spans="1:17" s="67" customFormat="1">
      <c r="A31" s="348">
        <f t="shared" si="0"/>
        <v>15</v>
      </c>
      <c r="B31" s="348" t="s">
        <v>149</v>
      </c>
      <c r="C31" s="423" t="s">
        <v>606</v>
      </c>
      <c r="D31" s="348" t="s">
        <v>82</v>
      </c>
      <c r="E31" s="491">
        <f>113.73</f>
        <v>113.73</v>
      </c>
      <c r="F31" s="170"/>
      <c r="G31" s="143"/>
      <c r="H31" s="145"/>
      <c r="I31" s="145"/>
      <c r="J31" s="156"/>
      <c r="K31" s="145"/>
      <c r="L31" s="145"/>
      <c r="M31" s="204"/>
      <c r="N31" s="204"/>
      <c r="O31" s="204"/>
      <c r="P31" s="204"/>
      <c r="Q31" s="180"/>
    </row>
    <row r="32" spans="1:17" s="67" customFormat="1" ht="24">
      <c r="A32" s="348">
        <f t="shared" si="0"/>
        <v>16</v>
      </c>
      <c r="B32" s="348" t="s">
        <v>149</v>
      </c>
      <c r="C32" s="377" t="s">
        <v>607</v>
      </c>
      <c r="D32" s="434" t="s">
        <v>82</v>
      </c>
      <c r="E32" s="354">
        <f>128.64</f>
        <v>128.63999999999999</v>
      </c>
      <c r="F32" s="170"/>
      <c r="G32" s="143"/>
      <c r="H32" s="145"/>
      <c r="I32" s="145"/>
      <c r="J32" s="156"/>
      <c r="K32" s="145"/>
      <c r="L32" s="145"/>
      <c r="M32" s="204"/>
      <c r="N32" s="204"/>
      <c r="O32" s="204"/>
      <c r="P32" s="204"/>
      <c r="Q32" s="180"/>
    </row>
    <row r="33" spans="1:17" s="67" customFormat="1" ht="24">
      <c r="A33" s="348">
        <f t="shared" si="0"/>
        <v>17</v>
      </c>
      <c r="B33" s="348" t="s">
        <v>149</v>
      </c>
      <c r="C33" s="377" t="s">
        <v>608</v>
      </c>
      <c r="D33" s="434" t="s">
        <v>82</v>
      </c>
      <c r="E33" s="354">
        <f>3.12</f>
        <v>3.12</v>
      </c>
      <c r="F33" s="170"/>
      <c r="G33" s="143"/>
      <c r="H33" s="145"/>
      <c r="I33" s="145"/>
      <c r="J33" s="156"/>
      <c r="K33" s="145"/>
      <c r="L33" s="145"/>
      <c r="M33" s="204"/>
      <c r="N33" s="204"/>
      <c r="O33" s="204"/>
      <c r="P33" s="204"/>
      <c r="Q33" s="180"/>
    </row>
    <row r="34" spans="1:17" s="67" customFormat="1">
      <c r="A34" s="380">
        <f t="shared" si="0"/>
        <v>18</v>
      </c>
      <c r="B34" s="380" t="s">
        <v>149</v>
      </c>
      <c r="C34" s="381" t="s">
        <v>609</v>
      </c>
      <c r="D34" s="484" t="s">
        <v>82</v>
      </c>
      <c r="E34" s="441">
        <f>84.79</f>
        <v>84.79</v>
      </c>
      <c r="F34" s="172"/>
      <c r="G34" s="159"/>
      <c r="H34" s="150"/>
      <c r="I34" s="150"/>
      <c r="J34" s="160"/>
      <c r="K34" s="150"/>
      <c r="L34" s="150"/>
      <c r="M34" s="207"/>
      <c r="N34" s="207"/>
      <c r="O34" s="207"/>
      <c r="P34" s="207"/>
      <c r="Q34" s="180"/>
    </row>
    <row r="35" spans="1:17" s="67" customFormat="1">
      <c r="A35" s="370"/>
      <c r="B35" s="370"/>
      <c r="C35" s="502" t="s">
        <v>610</v>
      </c>
      <c r="D35" s="370"/>
      <c r="E35" s="504"/>
      <c r="F35" s="221"/>
      <c r="G35" s="222"/>
      <c r="H35" s="135"/>
      <c r="I35" s="135"/>
      <c r="J35" s="223"/>
      <c r="K35" s="135"/>
      <c r="L35" s="135"/>
      <c r="M35" s="136"/>
      <c r="N35" s="136"/>
      <c r="O35" s="136"/>
      <c r="P35" s="136"/>
      <c r="Q35" s="180"/>
    </row>
    <row r="36" spans="1:17" s="67" customFormat="1">
      <c r="A36" s="370"/>
      <c r="B36" s="370"/>
      <c r="C36" s="509" t="s">
        <v>589</v>
      </c>
      <c r="D36" s="370"/>
      <c r="E36" s="504"/>
      <c r="F36" s="221"/>
      <c r="G36" s="222"/>
      <c r="H36" s="135"/>
      <c r="I36" s="135"/>
      <c r="J36" s="223"/>
      <c r="K36" s="135"/>
      <c r="L36" s="135"/>
      <c r="M36" s="136"/>
      <c r="N36" s="136"/>
      <c r="O36" s="136"/>
      <c r="P36" s="136"/>
      <c r="Q36" s="180"/>
    </row>
    <row r="37" spans="1:17" s="67" customFormat="1" ht="24">
      <c r="A37" s="385">
        <f>A34+1</f>
        <v>19</v>
      </c>
      <c r="B37" s="385" t="s">
        <v>149</v>
      </c>
      <c r="C37" s="428" t="s">
        <v>590</v>
      </c>
      <c r="D37" s="385" t="s">
        <v>82</v>
      </c>
      <c r="E37" s="507">
        <f>1350.76</f>
        <v>1350.76</v>
      </c>
      <c r="F37" s="171"/>
      <c r="G37" s="161"/>
      <c r="H37" s="146"/>
      <c r="I37" s="146"/>
      <c r="J37" s="163"/>
      <c r="K37" s="146"/>
      <c r="L37" s="146"/>
      <c r="M37" s="205"/>
      <c r="N37" s="205"/>
      <c r="O37" s="205"/>
      <c r="P37" s="205"/>
      <c r="Q37" s="180"/>
    </row>
    <row r="38" spans="1:17" s="67" customFormat="1" ht="24">
      <c r="A38" s="348">
        <f t="shared" ref="A38:A43" si="1">A37+1</f>
        <v>20</v>
      </c>
      <c r="B38" s="348" t="s">
        <v>149</v>
      </c>
      <c r="C38" s="423" t="s">
        <v>591</v>
      </c>
      <c r="D38" s="348" t="s">
        <v>82</v>
      </c>
      <c r="E38" s="491">
        <f>159.09</f>
        <v>159.09</v>
      </c>
      <c r="F38" s="170"/>
      <c r="G38" s="143"/>
      <c r="H38" s="145"/>
      <c r="I38" s="145"/>
      <c r="J38" s="156"/>
      <c r="K38" s="145"/>
      <c r="L38" s="145"/>
      <c r="M38" s="204"/>
      <c r="N38" s="204"/>
      <c r="O38" s="204"/>
      <c r="P38" s="204"/>
      <c r="Q38" s="180"/>
    </row>
    <row r="39" spans="1:17" s="67" customFormat="1" ht="24">
      <c r="A39" s="348">
        <f t="shared" si="1"/>
        <v>21</v>
      </c>
      <c r="B39" s="348" t="s">
        <v>149</v>
      </c>
      <c r="C39" s="423" t="s">
        <v>592</v>
      </c>
      <c r="D39" s="348" t="s">
        <v>82</v>
      </c>
      <c r="E39" s="491">
        <f>107.05</f>
        <v>107.05</v>
      </c>
      <c r="F39" s="170"/>
      <c r="G39" s="143"/>
      <c r="H39" s="145"/>
      <c r="I39" s="145"/>
      <c r="J39" s="156"/>
      <c r="K39" s="145"/>
      <c r="L39" s="145"/>
      <c r="M39" s="204"/>
      <c r="N39" s="204"/>
      <c r="O39" s="204"/>
      <c r="P39" s="204"/>
      <c r="Q39" s="180"/>
    </row>
    <row r="40" spans="1:17" s="67" customFormat="1">
      <c r="A40" s="348">
        <f t="shared" si="1"/>
        <v>22</v>
      </c>
      <c r="B40" s="348" t="s">
        <v>149</v>
      </c>
      <c r="C40" s="423" t="s">
        <v>593</v>
      </c>
      <c r="D40" s="348" t="s">
        <v>82</v>
      </c>
      <c r="E40" s="491">
        <f>112.83</f>
        <v>112.83</v>
      </c>
      <c r="F40" s="170"/>
      <c r="G40" s="143"/>
      <c r="H40" s="145"/>
      <c r="I40" s="145"/>
      <c r="J40" s="156"/>
      <c r="K40" s="145"/>
      <c r="L40" s="145"/>
      <c r="M40" s="204"/>
      <c r="N40" s="204"/>
      <c r="O40" s="204"/>
      <c r="P40" s="204"/>
      <c r="Q40" s="180"/>
    </row>
    <row r="41" spans="1:17" s="67" customFormat="1">
      <c r="A41" s="348">
        <f t="shared" si="1"/>
        <v>23</v>
      </c>
      <c r="B41" s="348" t="s">
        <v>149</v>
      </c>
      <c r="C41" s="423" t="s">
        <v>611</v>
      </c>
      <c r="D41" s="348" t="s">
        <v>82</v>
      </c>
      <c r="E41" s="491">
        <v>11.52</v>
      </c>
      <c r="F41" s="170"/>
      <c r="G41" s="143"/>
      <c r="H41" s="145"/>
      <c r="I41" s="145"/>
      <c r="J41" s="156"/>
      <c r="K41" s="145"/>
      <c r="L41" s="145"/>
      <c r="M41" s="204"/>
      <c r="N41" s="204"/>
      <c r="O41" s="204"/>
      <c r="P41" s="204"/>
      <c r="Q41" s="180"/>
    </row>
    <row r="42" spans="1:17" s="67" customFormat="1">
      <c r="A42" s="348">
        <f t="shared" si="1"/>
        <v>24</v>
      </c>
      <c r="B42" s="348" t="s">
        <v>149</v>
      </c>
      <c r="C42" s="423" t="s">
        <v>594</v>
      </c>
      <c r="D42" s="348" t="s">
        <v>77</v>
      </c>
      <c r="E42" s="491">
        <f>45</f>
        <v>45</v>
      </c>
      <c r="F42" s="170"/>
      <c r="G42" s="143"/>
      <c r="H42" s="145"/>
      <c r="I42" s="145"/>
      <c r="J42" s="156"/>
      <c r="K42" s="145"/>
      <c r="L42" s="145"/>
      <c r="M42" s="204"/>
      <c r="N42" s="204"/>
      <c r="O42" s="204"/>
      <c r="P42" s="204"/>
      <c r="Q42" s="180"/>
    </row>
    <row r="43" spans="1:17" s="67" customFormat="1">
      <c r="A43" s="380">
        <f t="shared" si="1"/>
        <v>25</v>
      </c>
      <c r="B43" s="380" t="s">
        <v>149</v>
      </c>
      <c r="C43" s="427" t="s">
        <v>595</v>
      </c>
      <c r="D43" s="380" t="s">
        <v>77</v>
      </c>
      <c r="E43" s="506">
        <f>24.34</f>
        <v>24.34</v>
      </c>
      <c r="F43" s="172"/>
      <c r="G43" s="159"/>
      <c r="H43" s="150"/>
      <c r="I43" s="150"/>
      <c r="J43" s="160"/>
      <c r="K43" s="150"/>
      <c r="L43" s="150"/>
      <c r="M43" s="207"/>
      <c r="N43" s="207"/>
      <c r="O43" s="207"/>
      <c r="P43" s="207"/>
      <c r="Q43" s="180"/>
    </row>
    <row r="44" spans="1:17" s="67" customFormat="1">
      <c r="A44" s="370"/>
      <c r="B44" s="370"/>
      <c r="C44" s="509" t="s">
        <v>596</v>
      </c>
      <c r="D44" s="370"/>
      <c r="E44" s="504"/>
      <c r="F44" s="221"/>
      <c r="G44" s="222"/>
      <c r="H44" s="135"/>
      <c r="I44" s="135"/>
      <c r="J44" s="223"/>
      <c r="K44" s="135"/>
      <c r="L44" s="135"/>
      <c r="M44" s="136"/>
      <c r="N44" s="136"/>
      <c r="O44" s="136"/>
      <c r="P44" s="136"/>
      <c r="Q44" s="180"/>
    </row>
    <row r="45" spans="1:17" s="67" customFormat="1" ht="24">
      <c r="A45" s="385">
        <f>A43+1</f>
        <v>26</v>
      </c>
      <c r="B45" s="385" t="s">
        <v>149</v>
      </c>
      <c r="C45" s="510" t="s">
        <v>612</v>
      </c>
      <c r="D45" s="385" t="s">
        <v>82</v>
      </c>
      <c r="E45" s="507">
        <v>300.29000000000002</v>
      </c>
      <c r="F45" s="171"/>
      <c r="G45" s="161"/>
      <c r="H45" s="146"/>
      <c r="I45" s="146"/>
      <c r="J45" s="163"/>
      <c r="K45" s="146"/>
      <c r="L45" s="146"/>
      <c r="M45" s="205"/>
      <c r="N45" s="205"/>
      <c r="O45" s="205"/>
      <c r="P45" s="205"/>
      <c r="Q45" s="180"/>
    </row>
    <row r="46" spans="1:17" s="67" customFormat="1" ht="24">
      <c r="A46" s="348">
        <f>A45+1</f>
        <v>27</v>
      </c>
      <c r="B46" s="348" t="s">
        <v>149</v>
      </c>
      <c r="C46" s="490" t="s">
        <v>613</v>
      </c>
      <c r="D46" s="348" t="s">
        <v>82</v>
      </c>
      <c r="E46" s="491">
        <v>122.39</v>
      </c>
      <c r="F46" s="170"/>
      <c r="G46" s="143"/>
      <c r="H46" s="145"/>
      <c r="I46" s="145"/>
      <c r="J46" s="156"/>
      <c r="K46" s="145"/>
      <c r="L46" s="145"/>
      <c r="M46" s="204"/>
      <c r="N46" s="204"/>
      <c r="O46" s="204"/>
      <c r="P46" s="204"/>
      <c r="Q46" s="180"/>
    </row>
    <row r="47" spans="1:17" s="67" customFormat="1" ht="24">
      <c r="A47" s="348">
        <f>A46+1</f>
        <v>28</v>
      </c>
      <c r="B47" s="348" t="s">
        <v>149</v>
      </c>
      <c r="C47" s="490" t="s">
        <v>614</v>
      </c>
      <c r="D47" s="348" t="s">
        <v>82</v>
      </c>
      <c r="E47" s="491">
        <v>140.06</v>
      </c>
      <c r="F47" s="170"/>
      <c r="G47" s="143"/>
      <c r="H47" s="145"/>
      <c r="I47" s="145"/>
      <c r="J47" s="156"/>
      <c r="K47" s="145"/>
      <c r="L47" s="145"/>
      <c r="M47" s="204"/>
      <c r="N47" s="204"/>
      <c r="O47" s="204"/>
      <c r="P47" s="204"/>
      <c r="Q47" s="180"/>
    </row>
    <row r="48" spans="1:17" s="67" customFormat="1" ht="24">
      <c r="A48" s="348">
        <f>A47+1</f>
        <v>29</v>
      </c>
      <c r="B48" s="348" t="s">
        <v>149</v>
      </c>
      <c r="C48" s="490" t="s">
        <v>615</v>
      </c>
      <c r="D48" s="348" t="s">
        <v>82</v>
      </c>
      <c r="E48" s="491">
        <v>28.57</v>
      </c>
      <c r="F48" s="170"/>
      <c r="G48" s="143"/>
      <c r="H48" s="145"/>
      <c r="I48" s="145"/>
      <c r="J48" s="156"/>
      <c r="K48" s="145"/>
      <c r="L48" s="145"/>
      <c r="M48" s="204"/>
      <c r="N48" s="204"/>
      <c r="O48" s="204"/>
      <c r="P48" s="204"/>
      <c r="Q48" s="180"/>
    </row>
    <row r="49" spans="1:17" s="67" customFormat="1" ht="24">
      <c r="A49" s="348">
        <f>A48+1</f>
        <v>30</v>
      </c>
      <c r="B49" s="348" t="s">
        <v>149</v>
      </c>
      <c r="C49" s="490" t="s">
        <v>616</v>
      </c>
      <c r="D49" s="348" t="s">
        <v>82</v>
      </c>
      <c r="E49" s="491">
        <v>9.5299999999999994</v>
      </c>
      <c r="F49" s="170"/>
      <c r="G49" s="143"/>
      <c r="H49" s="145"/>
      <c r="I49" s="145"/>
      <c r="J49" s="156"/>
      <c r="K49" s="145"/>
      <c r="L49" s="145"/>
      <c r="M49" s="204"/>
      <c r="N49" s="204"/>
      <c r="O49" s="204"/>
      <c r="P49" s="204"/>
      <c r="Q49" s="180"/>
    </row>
    <row r="50" spans="1:17" s="67" customFormat="1" ht="24">
      <c r="A50" s="380">
        <f>A49+1</f>
        <v>31</v>
      </c>
      <c r="B50" s="380" t="s">
        <v>149</v>
      </c>
      <c r="C50" s="511" t="s">
        <v>617</v>
      </c>
      <c r="D50" s="380" t="s">
        <v>82</v>
      </c>
      <c r="E50" s="506">
        <v>27.57</v>
      </c>
      <c r="F50" s="172"/>
      <c r="G50" s="159"/>
      <c r="H50" s="150"/>
      <c r="I50" s="150"/>
      <c r="J50" s="160"/>
      <c r="K50" s="150"/>
      <c r="L50" s="150"/>
      <c r="M50" s="207"/>
      <c r="N50" s="207"/>
      <c r="O50" s="207"/>
      <c r="P50" s="207"/>
      <c r="Q50" s="180"/>
    </row>
    <row r="51" spans="1:17" s="67" customFormat="1">
      <c r="A51" s="370"/>
      <c r="B51" s="370"/>
      <c r="C51" s="509" t="s">
        <v>600</v>
      </c>
      <c r="D51" s="370"/>
      <c r="E51" s="504"/>
      <c r="F51" s="221"/>
      <c r="G51" s="222"/>
      <c r="H51" s="135"/>
      <c r="I51" s="135"/>
      <c r="J51" s="223"/>
      <c r="K51" s="135"/>
      <c r="L51" s="135"/>
      <c r="M51" s="136"/>
      <c r="N51" s="136"/>
      <c r="O51" s="136"/>
      <c r="P51" s="136"/>
      <c r="Q51" s="180"/>
    </row>
    <row r="52" spans="1:17" s="67" customFormat="1">
      <c r="A52" s="385">
        <f>A50+1</f>
        <v>32</v>
      </c>
      <c r="B52" s="385" t="s">
        <v>149</v>
      </c>
      <c r="C52" s="386" t="s">
        <v>601</v>
      </c>
      <c r="D52" s="385" t="s">
        <v>115</v>
      </c>
      <c r="E52" s="507">
        <v>291.14999999999998</v>
      </c>
      <c r="F52" s="171"/>
      <c r="G52" s="161"/>
      <c r="H52" s="146"/>
      <c r="I52" s="146"/>
      <c r="J52" s="163"/>
      <c r="K52" s="146"/>
      <c r="L52" s="146"/>
      <c r="M52" s="205"/>
      <c r="N52" s="205"/>
      <c r="O52" s="205"/>
      <c r="P52" s="205"/>
      <c r="Q52" s="180"/>
    </row>
    <row r="53" spans="1:17" s="67" customFormat="1">
      <c r="A53" s="348">
        <f t="shared" ref="A53:A60" si="2">A52+1</f>
        <v>33</v>
      </c>
      <c r="B53" s="348" t="s">
        <v>149</v>
      </c>
      <c r="C53" s="377" t="s">
        <v>602</v>
      </c>
      <c r="D53" s="348" t="s">
        <v>115</v>
      </c>
      <c r="E53" s="491">
        <v>175.92</v>
      </c>
      <c r="F53" s="170"/>
      <c r="G53" s="143"/>
      <c r="H53" s="145"/>
      <c r="I53" s="145"/>
      <c r="J53" s="156"/>
      <c r="K53" s="145"/>
      <c r="L53" s="145"/>
      <c r="M53" s="204"/>
      <c r="N53" s="204"/>
      <c r="O53" s="204"/>
      <c r="P53" s="204"/>
      <c r="Q53" s="180"/>
    </row>
    <row r="54" spans="1:17" s="67" customFormat="1">
      <c r="A54" s="348">
        <f t="shared" si="2"/>
        <v>34</v>
      </c>
      <c r="B54" s="348" t="s">
        <v>149</v>
      </c>
      <c r="C54" s="377" t="s">
        <v>603</v>
      </c>
      <c r="D54" s="348" t="s">
        <v>115</v>
      </c>
      <c r="E54" s="491">
        <v>11.67</v>
      </c>
      <c r="F54" s="170"/>
      <c r="G54" s="143"/>
      <c r="H54" s="145"/>
      <c r="I54" s="145"/>
      <c r="J54" s="156"/>
      <c r="K54" s="145"/>
      <c r="L54" s="145"/>
      <c r="M54" s="204"/>
      <c r="N54" s="204"/>
      <c r="O54" s="204"/>
      <c r="P54" s="204"/>
      <c r="Q54" s="180"/>
    </row>
    <row r="55" spans="1:17" s="67" customFormat="1">
      <c r="A55" s="348">
        <f t="shared" si="2"/>
        <v>35</v>
      </c>
      <c r="B55" s="348" t="s">
        <v>149</v>
      </c>
      <c r="C55" s="377" t="s">
        <v>604</v>
      </c>
      <c r="D55" s="348" t="s">
        <v>115</v>
      </c>
      <c r="E55" s="491">
        <v>11</v>
      </c>
      <c r="F55" s="170"/>
      <c r="G55" s="143"/>
      <c r="H55" s="145"/>
      <c r="I55" s="145"/>
      <c r="J55" s="156"/>
      <c r="K55" s="145"/>
      <c r="L55" s="145"/>
      <c r="M55" s="204"/>
      <c r="N55" s="204"/>
      <c r="O55" s="204"/>
      <c r="P55" s="204"/>
      <c r="Q55" s="180"/>
    </row>
    <row r="56" spans="1:17" s="67" customFormat="1">
      <c r="A56" s="348">
        <f t="shared" si="2"/>
        <v>36</v>
      </c>
      <c r="B56" s="348" t="s">
        <v>149</v>
      </c>
      <c r="C56" s="423" t="s">
        <v>605</v>
      </c>
      <c r="D56" s="348" t="s">
        <v>82</v>
      </c>
      <c r="E56" s="491">
        <v>337.4</v>
      </c>
      <c r="F56" s="170"/>
      <c r="G56" s="143"/>
      <c r="H56" s="145"/>
      <c r="I56" s="145"/>
      <c r="J56" s="156"/>
      <c r="K56" s="145"/>
      <c r="L56" s="145"/>
      <c r="M56" s="204"/>
      <c r="N56" s="204"/>
      <c r="O56" s="204"/>
      <c r="P56" s="204"/>
      <c r="Q56" s="180"/>
    </row>
    <row r="57" spans="1:17" s="67" customFormat="1">
      <c r="A57" s="348">
        <f t="shared" si="2"/>
        <v>37</v>
      </c>
      <c r="B57" s="348" t="s">
        <v>149</v>
      </c>
      <c r="C57" s="423" t="s">
        <v>606</v>
      </c>
      <c r="D57" s="348" t="s">
        <v>82</v>
      </c>
      <c r="E57" s="491">
        <v>252.79</v>
      </c>
      <c r="F57" s="170"/>
      <c r="G57" s="143"/>
      <c r="H57" s="145"/>
      <c r="I57" s="145"/>
      <c r="J57" s="156"/>
      <c r="K57" s="145"/>
      <c r="L57" s="145"/>
      <c r="M57" s="204"/>
      <c r="N57" s="204"/>
      <c r="O57" s="204"/>
      <c r="P57" s="204"/>
      <c r="Q57" s="180"/>
    </row>
    <row r="58" spans="1:17" s="67" customFormat="1" ht="24">
      <c r="A58" s="348">
        <f t="shared" si="2"/>
        <v>38</v>
      </c>
      <c r="B58" s="348" t="s">
        <v>149</v>
      </c>
      <c r="C58" s="377" t="s">
        <v>607</v>
      </c>
      <c r="D58" s="434" t="s">
        <v>82</v>
      </c>
      <c r="E58" s="354">
        <v>9.85</v>
      </c>
      <c r="F58" s="170"/>
      <c r="G58" s="143"/>
      <c r="H58" s="145"/>
      <c r="I58" s="145"/>
      <c r="J58" s="156"/>
      <c r="K58" s="145"/>
      <c r="L58" s="145"/>
      <c r="M58" s="204"/>
      <c r="N58" s="204"/>
      <c r="O58" s="204"/>
      <c r="P58" s="204"/>
      <c r="Q58" s="180"/>
    </row>
    <row r="59" spans="1:17" s="67" customFormat="1" ht="24">
      <c r="A59" s="348">
        <f t="shared" si="2"/>
        <v>39</v>
      </c>
      <c r="B59" s="348" t="s">
        <v>149</v>
      </c>
      <c r="C59" s="377" t="s">
        <v>608</v>
      </c>
      <c r="D59" s="434" t="s">
        <v>82</v>
      </c>
      <c r="E59" s="354">
        <v>7.48</v>
      </c>
      <c r="F59" s="170"/>
      <c r="G59" s="143"/>
      <c r="H59" s="145"/>
      <c r="I59" s="145"/>
      <c r="J59" s="156"/>
      <c r="K59" s="145"/>
      <c r="L59" s="145"/>
      <c r="M59" s="204"/>
      <c r="N59" s="204"/>
      <c r="O59" s="204"/>
      <c r="P59" s="204"/>
      <c r="Q59" s="180"/>
    </row>
    <row r="60" spans="1:17" s="67" customFormat="1">
      <c r="A60" s="348">
        <f t="shared" si="2"/>
        <v>40</v>
      </c>
      <c r="B60" s="348" t="s">
        <v>149</v>
      </c>
      <c r="C60" s="377" t="s">
        <v>609</v>
      </c>
      <c r="D60" s="434" t="s">
        <v>82</v>
      </c>
      <c r="E60" s="354">
        <v>49.96</v>
      </c>
      <c r="F60" s="170"/>
      <c r="G60" s="143"/>
      <c r="H60" s="145"/>
      <c r="I60" s="145"/>
      <c r="J60" s="156"/>
      <c r="K60" s="145"/>
      <c r="L60" s="145"/>
      <c r="M60" s="204"/>
      <c r="N60" s="204"/>
      <c r="O60" s="204"/>
      <c r="P60" s="204"/>
      <c r="Q60" s="180"/>
    </row>
    <row r="61" spans="1:17" s="67" customFormat="1" ht="24">
      <c r="A61" s="380">
        <f>A60+1</f>
        <v>41</v>
      </c>
      <c r="B61" s="380" t="s">
        <v>149</v>
      </c>
      <c r="C61" s="381" t="s">
        <v>618</v>
      </c>
      <c r="D61" s="484" t="s">
        <v>82</v>
      </c>
      <c r="E61" s="441">
        <v>13.55</v>
      </c>
      <c r="F61" s="172"/>
      <c r="G61" s="159"/>
      <c r="H61" s="150"/>
      <c r="I61" s="150"/>
      <c r="J61" s="160"/>
      <c r="K61" s="150"/>
      <c r="L61" s="150"/>
      <c r="M61" s="207"/>
      <c r="N61" s="207"/>
      <c r="O61" s="207"/>
      <c r="P61" s="207"/>
      <c r="Q61" s="180"/>
    </row>
    <row r="62" spans="1:17" s="67" customFormat="1">
      <c r="A62" s="370"/>
      <c r="B62" s="370"/>
      <c r="C62" s="502" t="s">
        <v>619</v>
      </c>
      <c r="D62" s="370"/>
      <c r="E62" s="504"/>
      <c r="F62" s="221"/>
      <c r="G62" s="222"/>
      <c r="H62" s="135"/>
      <c r="I62" s="135"/>
      <c r="J62" s="223"/>
      <c r="K62" s="135"/>
      <c r="L62" s="135"/>
      <c r="M62" s="136"/>
      <c r="N62" s="136"/>
      <c r="O62" s="136"/>
      <c r="P62" s="136"/>
      <c r="Q62" s="180"/>
    </row>
    <row r="63" spans="1:17" s="67" customFormat="1">
      <c r="A63" s="370"/>
      <c r="B63" s="370"/>
      <c r="C63" s="509" t="s">
        <v>589</v>
      </c>
      <c r="D63" s="370"/>
      <c r="E63" s="504"/>
      <c r="F63" s="221"/>
      <c r="G63" s="222"/>
      <c r="H63" s="135"/>
      <c r="I63" s="135"/>
      <c r="J63" s="223"/>
      <c r="K63" s="135"/>
      <c r="L63" s="135"/>
      <c r="M63" s="136"/>
      <c r="N63" s="136"/>
      <c r="O63" s="136"/>
      <c r="P63" s="136"/>
      <c r="Q63" s="180"/>
    </row>
    <row r="64" spans="1:17" s="67" customFormat="1" ht="24">
      <c r="A64" s="385">
        <f>A61+1</f>
        <v>42</v>
      </c>
      <c r="B64" s="385" t="s">
        <v>149</v>
      </c>
      <c r="C64" s="428" t="s">
        <v>590</v>
      </c>
      <c r="D64" s="385" t="s">
        <v>82</v>
      </c>
      <c r="E64" s="507">
        <f>1005.39</f>
        <v>1005.39</v>
      </c>
      <c r="F64" s="171"/>
      <c r="G64" s="161"/>
      <c r="H64" s="146"/>
      <c r="I64" s="146"/>
      <c r="J64" s="163"/>
      <c r="K64" s="146"/>
      <c r="L64" s="146"/>
      <c r="M64" s="205"/>
      <c r="N64" s="205"/>
      <c r="O64" s="205"/>
      <c r="P64" s="205"/>
      <c r="Q64" s="180"/>
    </row>
    <row r="65" spans="1:17" s="67" customFormat="1" ht="24">
      <c r="A65" s="348">
        <f>A64+1</f>
        <v>43</v>
      </c>
      <c r="B65" s="348" t="s">
        <v>149</v>
      </c>
      <c r="C65" s="423" t="s">
        <v>591</v>
      </c>
      <c r="D65" s="348" t="s">
        <v>82</v>
      </c>
      <c r="E65" s="491">
        <f>72.17</f>
        <v>72.17</v>
      </c>
      <c r="F65" s="170"/>
      <c r="G65" s="143"/>
      <c r="H65" s="145"/>
      <c r="I65" s="145"/>
      <c r="J65" s="156"/>
      <c r="K65" s="145"/>
      <c r="L65" s="145"/>
      <c r="M65" s="204"/>
      <c r="N65" s="204"/>
      <c r="O65" s="204"/>
      <c r="P65" s="204"/>
      <c r="Q65" s="180"/>
    </row>
    <row r="66" spans="1:17" s="67" customFormat="1">
      <c r="A66" s="348">
        <f>A65+1</f>
        <v>44</v>
      </c>
      <c r="B66" s="348" t="s">
        <v>149</v>
      </c>
      <c r="C66" s="423" t="s">
        <v>593</v>
      </c>
      <c r="D66" s="348" t="s">
        <v>82</v>
      </c>
      <c r="E66" s="491">
        <f>57.91</f>
        <v>57.91</v>
      </c>
      <c r="F66" s="170"/>
      <c r="G66" s="143"/>
      <c r="H66" s="145"/>
      <c r="I66" s="145"/>
      <c r="J66" s="156"/>
      <c r="K66" s="145"/>
      <c r="L66" s="145"/>
      <c r="M66" s="204"/>
      <c r="N66" s="204"/>
      <c r="O66" s="204"/>
      <c r="P66" s="204"/>
      <c r="Q66" s="180"/>
    </row>
    <row r="67" spans="1:17" s="67" customFormat="1">
      <c r="A67" s="348">
        <f>A66+1</f>
        <v>45</v>
      </c>
      <c r="B67" s="348" t="s">
        <v>149</v>
      </c>
      <c r="C67" s="423" t="s">
        <v>594</v>
      </c>
      <c r="D67" s="348" t="s">
        <v>77</v>
      </c>
      <c r="E67" s="491">
        <f>13</f>
        <v>13</v>
      </c>
      <c r="F67" s="170"/>
      <c r="G67" s="143"/>
      <c r="H67" s="145"/>
      <c r="I67" s="145"/>
      <c r="J67" s="156"/>
      <c r="K67" s="145"/>
      <c r="L67" s="145"/>
      <c r="M67" s="204"/>
      <c r="N67" s="204"/>
      <c r="O67" s="204"/>
      <c r="P67" s="204"/>
      <c r="Q67" s="180"/>
    </row>
    <row r="68" spans="1:17" s="67" customFormat="1">
      <c r="A68" s="380">
        <f>A67+1</f>
        <v>46</v>
      </c>
      <c r="B68" s="380" t="s">
        <v>149</v>
      </c>
      <c r="C68" s="427" t="s">
        <v>595</v>
      </c>
      <c r="D68" s="380" t="s">
        <v>77</v>
      </c>
      <c r="E68" s="506">
        <f>21.97</f>
        <v>21.97</v>
      </c>
      <c r="F68" s="172"/>
      <c r="G68" s="159"/>
      <c r="H68" s="150"/>
      <c r="I68" s="150"/>
      <c r="J68" s="160"/>
      <c r="K68" s="150"/>
      <c r="L68" s="150"/>
      <c r="M68" s="207"/>
      <c r="N68" s="207"/>
      <c r="O68" s="207"/>
      <c r="P68" s="207"/>
      <c r="Q68" s="180"/>
    </row>
    <row r="69" spans="1:17" s="67" customFormat="1">
      <c r="A69" s="370"/>
      <c r="B69" s="370"/>
      <c r="C69" s="509" t="s">
        <v>596</v>
      </c>
      <c r="D69" s="370"/>
      <c r="E69" s="504"/>
      <c r="F69" s="221"/>
      <c r="G69" s="222"/>
      <c r="H69" s="135"/>
      <c r="I69" s="135"/>
      <c r="J69" s="223"/>
      <c r="K69" s="135"/>
      <c r="L69" s="135"/>
      <c r="M69" s="136"/>
      <c r="N69" s="136"/>
      <c r="O69" s="136"/>
      <c r="P69" s="136"/>
      <c r="Q69" s="180"/>
    </row>
    <row r="70" spans="1:17" s="67" customFormat="1" ht="24">
      <c r="A70" s="385">
        <f>A68+1</f>
        <v>47</v>
      </c>
      <c r="B70" s="385" t="s">
        <v>149</v>
      </c>
      <c r="C70" s="510" t="s">
        <v>612</v>
      </c>
      <c r="D70" s="385" t="s">
        <v>82</v>
      </c>
      <c r="E70" s="507">
        <v>262.93</v>
      </c>
      <c r="F70" s="171"/>
      <c r="G70" s="161"/>
      <c r="H70" s="146"/>
      <c r="I70" s="146"/>
      <c r="J70" s="163"/>
      <c r="K70" s="146"/>
      <c r="L70" s="146"/>
      <c r="M70" s="205"/>
      <c r="N70" s="205"/>
      <c r="O70" s="205"/>
      <c r="P70" s="205"/>
      <c r="Q70" s="180"/>
    </row>
    <row r="71" spans="1:17" s="67" customFormat="1" ht="24">
      <c r="A71" s="348">
        <f>A70+1</f>
        <v>48</v>
      </c>
      <c r="B71" s="348" t="s">
        <v>149</v>
      </c>
      <c r="C71" s="490" t="s">
        <v>613</v>
      </c>
      <c r="D71" s="348" t="s">
        <v>82</v>
      </c>
      <c r="E71" s="491">
        <f>16.67</f>
        <v>16.670000000000002</v>
      </c>
      <c r="F71" s="170"/>
      <c r="G71" s="143"/>
      <c r="H71" s="145"/>
      <c r="I71" s="145"/>
      <c r="J71" s="156"/>
      <c r="K71" s="145"/>
      <c r="L71" s="145"/>
      <c r="M71" s="204"/>
      <c r="N71" s="204"/>
      <c r="O71" s="204"/>
      <c r="P71" s="204"/>
      <c r="Q71" s="180"/>
    </row>
    <row r="72" spans="1:17" s="67" customFormat="1" ht="24">
      <c r="A72" s="348">
        <f>A71+1</f>
        <v>49</v>
      </c>
      <c r="B72" s="348" t="s">
        <v>149</v>
      </c>
      <c r="C72" s="490" t="s">
        <v>614</v>
      </c>
      <c r="D72" s="348" t="s">
        <v>82</v>
      </c>
      <c r="E72" s="491">
        <f>103.17</f>
        <v>103.17</v>
      </c>
      <c r="F72" s="170"/>
      <c r="G72" s="143"/>
      <c r="H72" s="145"/>
      <c r="I72" s="145"/>
      <c r="J72" s="156"/>
      <c r="K72" s="145"/>
      <c r="L72" s="145"/>
      <c r="M72" s="204"/>
      <c r="N72" s="204"/>
      <c r="O72" s="204"/>
      <c r="P72" s="204"/>
      <c r="Q72" s="180"/>
    </row>
    <row r="73" spans="1:17" s="67" customFormat="1" ht="24">
      <c r="A73" s="348">
        <f>A72+1</f>
        <v>50</v>
      </c>
      <c r="B73" s="348" t="s">
        <v>149</v>
      </c>
      <c r="C73" s="490" t="s">
        <v>615</v>
      </c>
      <c r="D73" s="348" t="s">
        <v>82</v>
      </c>
      <c r="E73" s="491">
        <v>14.2</v>
      </c>
      <c r="F73" s="170"/>
      <c r="G73" s="143"/>
      <c r="H73" s="145"/>
      <c r="I73" s="145"/>
      <c r="J73" s="156"/>
      <c r="K73" s="145"/>
      <c r="L73" s="145"/>
      <c r="M73" s="204"/>
      <c r="N73" s="204"/>
      <c r="O73" s="204"/>
      <c r="P73" s="204"/>
      <c r="Q73" s="180"/>
    </row>
    <row r="74" spans="1:17" s="67" customFormat="1" ht="36">
      <c r="A74" s="380">
        <f>A73+1</f>
        <v>51</v>
      </c>
      <c r="B74" s="380" t="s">
        <v>149</v>
      </c>
      <c r="C74" s="511" t="s">
        <v>620</v>
      </c>
      <c r="D74" s="380" t="s">
        <v>82</v>
      </c>
      <c r="E74" s="506">
        <f>21.22</f>
        <v>21.22</v>
      </c>
      <c r="F74" s="172"/>
      <c r="G74" s="159"/>
      <c r="H74" s="150"/>
      <c r="I74" s="150"/>
      <c r="J74" s="160"/>
      <c r="K74" s="150"/>
      <c r="L74" s="150"/>
      <c r="M74" s="207"/>
      <c r="N74" s="207"/>
      <c r="O74" s="207"/>
      <c r="P74" s="207"/>
      <c r="Q74" s="180"/>
    </row>
    <row r="75" spans="1:17" s="67" customFormat="1">
      <c r="A75" s="370"/>
      <c r="B75" s="370"/>
      <c r="C75" s="509" t="s">
        <v>600</v>
      </c>
      <c r="D75" s="370"/>
      <c r="E75" s="504"/>
      <c r="F75" s="221"/>
      <c r="G75" s="222"/>
      <c r="H75" s="135"/>
      <c r="I75" s="135"/>
      <c r="J75" s="223"/>
      <c r="K75" s="135"/>
      <c r="L75" s="135"/>
      <c r="M75" s="136"/>
      <c r="N75" s="136"/>
      <c r="O75" s="136"/>
      <c r="P75" s="136"/>
      <c r="Q75" s="180"/>
    </row>
    <row r="76" spans="1:17" s="67" customFormat="1">
      <c r="A76" s="385">
        <f>A74+1</f>
        <v>52</v>
      </c>
      <c r="B76" s="385" t="s">
        <v>149</v>
      </c>
      <c r="C76" s="386" t="s">
        <v>601</v>
      </c>
      <c r="D76" s="385" t="s">
        <v>115</v>
      </c>
      <c r="E76" s="507">
        <f>239.6</f>
        <v>239.6</v>
      </c>
      <c r="F76" s="171"/>
      <c r="G76" s="161"/>
      <c r="H76" s="146"/>
      <c r="I76" s="146"/>
      <c r="J76" s="163"/>
      <c r="K76" s="146"/>
      <c r="L76" s="146"/>
      <c r="M76" s="205"/>
      <c r="N76" s="205"/>
      <c r="O76" s="205"/>
      <c r="P76" s="205"/>
      <c r="Q76" s="180"/>
    </row>
    <row r="77" spans="1:17" s="67" customFormat="1">
      <c r="A77" s="348">
        <f>A76+1</f>
        <v>53</v>
      </c>
      <c r="B77" s="348" t="s">
        <v>149</v>
      </c>
      <c r="C77" s="377" t="s">
        <v>602</v>
      </c>
      <c r="D77" s="348" t="s">
        <v>115</v>
      </c>
      <c r="E77" s="491">
        <f>88</f>
        <v>88</v>
      </c>
      <c r="F77" s="170"/>
      <c r="G77" s="143"/>
      <c r="H77" s="145"/>
      <c r="I77" s="145"/>
      <c r="J77" s="156"/>
      <c r="K77" s="145"/>
      <c r="L77" s="145"/>
      <c r="M77" s="204"/>
      <c r="N77" s="204"/>
      <c r="O77" s="204"/>
      <c r="P77" s="204"/>
      <c r="Q77" s="180"/>
    </row>
    <row r="78" spans="1:17" s="67" customFormat="1">
      <c r="A78" s="348">
        <f>A77+1</f>
        <v>54</v>
      </c>
      <c r="B78" s="348" t="s">
        <v>149</v>
      </c>
      <c r="C78" s="423" t="s">
        <v>605</v>
      </c>
      <c r="D78" s="348" t="s">
        <v>82</v>
      </c>
      <c r="E78" s="491">
        <f>301.52</f>
        <v>301.52</v>
      </c>
      <c r="F78" s="170"/>
      <c r="G78" s="143"/>
      <c r="H78" s="145"/>
      <c r="I78" s="145"/>
      <c r="J78" s="156"/>
      <c r="K78" s="145"/>
      <c r="L78" s="145"/>
      <c r="M78" s="204"/>
      <c r="N78" s="204"/>
      <c r="O78" s="204"/>
      <c r="P78" s="204"/>
      <c r="Q78" s="180"/>
    </row>
    <row r="79" spans="1:17" s="67" customFormat="1">
      <c r="A79" s="348">
        <f>A78+1</f>
        <v>55</v>
      </c>
      <c r="B79" s="348" t="s">
        <v>149</v>
      </c>
      <c r="C79" s="423" t="s">
        <v>606</v>
      </c>
      <c r="D79" s="348" t="s">
        <v>82</v>
      </c>
      <c r="E79" s="491">
        <f>110.79</f>
        <v>110.79</v>
      </c>
      <c r="F79" s="170"/>
      <c r="G79" s="143"/>
      <c r="H79" s="145"/>
      <c r="I79" s="145"/>
      <c r="J79" s="156"/>
      <c r="K79" s="145"/>
      <c r="L79" s="145"/>
      <c r="M79" s="204"/>
      <c r="N79" s="204"/>
      <c r="O79" s="204"/>
      <c r="P79" s="204"/>
      <c r="Q79" s="180"/>
    </row>
    <row r="80" spans="1:17" s="67" customFormat="1">
      <c r="A80" s="380">
        <f>A79+1</f>
        <v>56</v>
      </c>
      <c r="B80" s="380" t="s">
        <v>149</v>
      </c>
      <c r="C80" s="381" t="s">
        <v>609</v>
      </c>
      <c r="D80" s="484" t="s">
        <v>82</v>
      </c>
      <c r="E80" s="441">
        <v>15.56</v>
      </c>
      <c r="F80" s="172"/>
      <c r="G80" s="159"/>
      <c r="H80" s="150"/>
      <c r="I80" s="150"/>
      <c r="J80" s="160"/>
      <c r="K80" s="150"/>
      <c r="L80" s="150"/>
      <c r="M80" s="207"/>
      <c r="N80" s="207"/>
      <c r="O80" s="207"/>
      <c r="P80" s="207"/>
      <c r="Q80" s="180"/>
    </row>
    <row r="81" spans="1:17" s="67" customFormat="1">
      <c r="A81" s="370"/>
      <c r="B81" s="370"/>
      <c r="C81" s="502" t="s">
        <v>621</v>
      </c>
      <c r="D81" s="370"/>
      <c r="E81" s="504"/>
      <c r="F81" s="221"/>
      <c r="G81" s="222"/>
      <c r="H81" s="135"/>
      <c r="I81" s="135"/>
      <c r="J81" s="223"/>
      <c r="K81" s="135"/>
      <c r="L81" s="135"/>
      <c r="M81" s="136"/>
      <c r="N81" s="136"/>
      <c r="O81" s="136"/>
      <c r="P81" s="136"/>
      <c r="Q81" s="180"/>
    </row>
    <row r="82" spans="1:17" s="67" customFormat="1">
      <c r="A82" s="370"/>
      <c r="B82" s="370"/>
      <c r="C82" s="509" t="s">
        <v>589</v>
      </c>
      <c r="D82" s="370"/>
      <c r="E82" s="504"/>
      <c r="F82" s="221"/>
      <c r="G82" s="222"/>
      <c r="H82" s="135"/>
      <c r="I82" s="135"/>
      <c r="J82" s="223"/>
      <c r="K82" s="135"/>
      <c r="L82" s="135"/>
      <c r="M82" s="136"/>
      <c r="N82" s="136"/>
      <c r="O82" s="136"/>
      <c r="P82" s="136"/>
      <c r="Q82" s="180"/>
    </row>
    <row r="83" spans="1:17" s="67" customFormat="1" ht="24">
      <c r="A83" s="385">
        <f>A80+1</f>
        <v>57</v>
      </c>
      <c r="B83" s="385" t="s">
        <v>149</v>
      </c>
      <c r="C83" s="428" t="s">
        <v>590</v>
      </c>
      <c r="D83" s="385" t="s">
        <v>82</v>
      </c>
      <c r="E83" s="507">
        <f>627.58</f>
        <v>627.58000000000004</v>
      </c>
      <c r="F83" s="171"/>
      <c r="G83" s="161"/>
      <c r="H83" s="146"/>
      <c r="I83" s="146"/>
      <c r="J83" s="163"/>
      <c r="K83" s="146"/>
      <c r="L83" s="146"/>
      <c r="M83" s="205"/>
      <c r="N83" s="205"/>
      <c r="O83" s="205"/>
      <c r="P83" s="205"/>
      <c r="Q83" s="180"/>
    </row>
    <row r="84" spans="1:17" s="67" customFormat="1" ht="24">
      <c r="A84" s="348">
        <f>A83+1</f>
        <v>58</v>
      </c>
      <c r="B84" s="348" t="s">
        <v>149</v>
      </c>
      <c r="C84" s="423" t="s">
        <v>591</v>
      </c>
      <c r="D84" s="348" t="s">
        <v>82</v>
      </c>
      <c r="E84" s="491">
        <v>42.98</v>
      </c>
      <c r="F84" s="170"/>
      <c r="G84" s="143"/>
      <c r="H84" s="145"/>
      <c r="I84" s="145"/>
      <c r="J84" s="156"/>
      <c r="K84" s="145"/>
      <c r="L84" s="145"/>
      <c r="M84" s="204"/>
      <c r="N84" s="204"/>
      <c r="O84" s="204"/>
      <c r="P84" s="204"/>
      <c r="Q84" s="180"/>
    </row>
    <row r="85" spans="1:17" s="67" customFormat="1">
      <c r="A85" s="348">
        <f>A84+1</f>
        <v>59</v>
      </c>
      <c r="B85" s="348" t="s">
        <v>149</v>
      </c>
      <c r="C85" s="423" t="s">
        <v>593</v>
      </c>
      <c r="D85" s="348" t="s">
        <v>82</v>
      </c>
      <c r="E85" s="491">
        <v>228.53</v>
      </c>
      <c r="F85" s="170"/>
      <c r="G85" s="143"/>
      <c r="H85" s="145"/>
      <c r="I85" s="145"/>
      <c r="J85" s="156"/>
      <c r="K85" s="145"/>
      <c r="L85" s="145"/>
      <c r="M85" s="204"/>
      <c r="N85" s="204"/>
      <c r="O85" s="204"/>
      <c r="P85" s="204"/>
      <c r="Q85" s="180"/>
    </row>
    <row r="86" spans="1:17" s="67" customFormat="1">
      <c r="A86" s="348">
        <f>A85+1</f>
        <v>60</v>
      </c>
      <c r="B86" s="348" t="s">
        <v>149</v>
      </c>
      <c r="C86" s="423" t="s">
        <v>594</v>
      </c>
      <c r="D86" s="348" t="s">
        <v>77</v>
      </c>
      <c r="E86" s="491">
        <v>55.03</v>
      </c>
      <c r="F86" s="170"/>
      <c r="G86" s="143"/>
      <c r="H86" s="145"/>
      <c r="I86" s="145"/>
      <c r="J86" s="156"/>
      <c r="K86" s="145"/>
      <c r="L86" s="145"/>
      <c r="M86" s="204"/>
      <c r="N86" s="204"/>
      <c r="O86" s="204"/>
      <c r="P86" s="204"/>
      <c r="Q86" s="180"/>
    </row>
    <row r="87" spans="1:17" s="67" customFormat="1">
      <c r="A87" s="380">
        <f>A86+1</f>
        <v>61</v>
      </c>
      <c r="B87" s="380" t="s">
        <v>149</v>
      </c>
      <c r="C87" s="427" t="s">
        <v>595</v>
      </c>
      <c r="D87" s="380" t="s">
        <v>77</v>
      </c>
      <c r="E87" s="506">
        <v>8</v>
      </c>
      <c r="F87" s="172"/>
      <c r="G87" s="159"/>
      <c r="H87" s="150"/>
      <c r="I87" s="150"/>
      <c r="J87" s="160"/>
      <c r="K87" s="150"/>
      <c r="L87" s="150"/>
      <c r="M87" s="207"/>
      <c r="N87" s="207"/>
      <c r="O87" s="207"/>
      <c r="P87" s="207"/>
      <c r="Q87" s="180"/>
    </row>
    <row r="88" spans="1:17" s="67" customFormat="1">
      <c r="A88" s="370"/>
      <c r="B88" s="370"/>
      <c r="C88" s="509" t="s">
        <v>596</v>
      </c>
      <c r="D88" s="370"/>
      <c r="E88" s="504"/>
      <c r="F88" s="221"/>
      <c r="G88" s="222"/>
      <c r="H88" s="135"/>
      <c r="I88" s="135"/>
      <c r="J88" s="223"/>
      <c r="K88" s="135"/>
      <c r="L88" s="135"/>
      <c r="M88" s="136"/>
      <c r="N88" s="136"/>
      <c r="O88" s="136"/>
      <c r="P88" s="136"/>
      <c r="Q88" s="180"/>
    </row>
    <row r="89" spans="1:17" s="67" customFormat="1" ht="24">
      <c r="A89" s="385">
        <f>A87+1</f>
        <v>62</v>
      </c>
      <c r="B89" s="385" t="s">
        <v>149</v>
      </c>
      <c r="C89" s="510" t="s">
        <v>612</v>
      </c>
      <c r="D89" s="385" t="s">
        <v>82</v>
      </c>
      <c r="E89" s="507">
        <v>222.61</v>
      </c>
      <c r="F89" s="171"/>
      <c r="G89" s="161"/>
      <c r="H89" s="146"/>
      <c r="I89" s="146"/>
      <c r="J89" s="163"/>
      <c r="K89" s="146"/>
      <c r="L89" s="146"/>
      <c r="M89" s="205"/>
      <c r="N89" s="205"/>
      <c r="O89" s="205"/>
      <c r="P89" s="205"/>
      <c r="Q89" s="180"/>
    </row>
    <row r="90" spans="1:17" s="67" customFormat="1" ht="24">
      <c r="A90" s="348">
        <f>A89+1</f>
        <v>63</v>
      </c>
      <c r="B90" s="348" t="s">
        <v>149</v>
      </c>
      <c r="C90" s="490" t="s">
        <v>614</v>
      </c>
      <c r="D90" s="348" t="s">
        <v>82</v>
      </c>
      <c r="E90" s="491">
        <v>84.13</v>
      </c>
      <c r="F90" s="170"/>
      <c r="G90" s="143"/>
      <c r="H90" s="145"/>
      <c r="I90" s="145"/>
      <c r="J90" s="156"/>
      <c r="K90" s="145"/>
      <c r="L90" s="145"/>
      <c r="M90" s="204"/>
      <c r="N90" s="204"/>
      <c r="O90" s="204"/>
      <c r="P90" s="204"/>
      <c r="Q90" s="180"/>
    </row>
    <row r="91" spans="1:17" s="67" customFormat="1" ht="24">
      <c r="A91" s="348">
        <f>A90+1</f>
        <v>64</v>
      </c>
      <c r="B91" s="348" t="s">
        <v>149</v>
      </c>
      <c r="C91" s="490" t="s">
        <v>615</v>
      </c>
      <c r="D91" s="348" t="s">
        <v>82</v>
      </c>
      <c r="E91" s="491">
        <v>11.57</v>
      </c>
      <c r="F91" s="170"/>
      <c r="G91" s="143"/>
      <c r="H91" s="145"/>
      <c r="I91" s="145"/>
      <c r="J91" s="156"/>
      <c r="K91" s="145"/>
      <c r="L91" s="145"/>
      <c r="M91" s="204"/>
      <c r="N91" s="204"/>
      <c r="O91" s="204"/>
      <c r="P91" s="204"/>
      <c r="Q91" s="180"/>
    </row>
    <row r="92" spans="1:17" s="67" customFormat="1" ht="24">
      <c r="A92" s="380">
        <f>A91+1</f>
        <v>65</v>
      </c>
      <c r="B92" s="380" t="s">
        <v>149</v>
      </c>
      <c r="C92" s="511" t="s">
        <v>622</v>
      </c>
      <c r="D92" s="380" t="s">
        <v>82</v>
      </c>
      <c r="E92" s="506">
        <f>8.26</f>
        <v>8.26</v>
      </c>
      <c r="F92" s="172"/>
      <c r="G92" s="159"/>
      <c r="H92" s="150"/>
      <c r="I92" s="150"/>
      <c r="J92" s="160"/>
      <c r="K92" s="150"/>
      <c r="L92" s="150"/>
      <c r="M92" s="207"/>
      <c r="N92" s="207"/>
      <c r="O92" s="207"/>
      <c r="P92" s="207"/>
      <c r="Q92" s="180"/>
    </row>
    <row r="93" spans="1:17" s="67" customFormat="1">
      <c r="A93" s="370"/>
      <c r="B93" s="370"/>
      <c r="C93" s="509" t="s">
        <v>600</v>
      </c>
      <c r="D93" s="370"/>
      <c r="E93" s="504"/>
      <c r="F93" s="221"/>
      <c r="G93" s="222"/>
      <c r="H93" s="135"/>
      <c r="I93" s="135"/>
      <c r="J93" s="223"/>
      <c r="K93" s="135"/>
      <c r="L93" s="135"/>
      <c r="M93" s="136"/>
      <c r="N93" s="136"/>
      <c r="O93" s="136"/>
      <c r="P93" s="136"/>
      <c r="Q93" s="180"/>
    </row>
    <row r="94" spans="1:17" s="67" customFormat="1">
      <c r="A94" s="385">
        <f>A92+1</f>
        <v>66</v>
      </c>
      <c r="B94" s="385" t="s">
        <v>149</v>
      </c>
      <c r="C94" s="386" t="s">
        <v>601</v>
      </c>
      <c r="D94" s="385" t="s">
        <v>115</v>
      </c>
      <c r="E94" s="507">
        <f>198.15</f>
        <v>198.15</v>
      </c>
      <c r="F94" s="171"/>
      <c r="G94" s="161"/>
      <c r="H94" s="146"/>
      <c r="I94" s="146"/>
      <c r="J94" s="163"/>
      <c r="K94" s="146"/>
      <c r="L94" s="146"/>
      <c r="M94" s="205"/>
      <c r="N94" s="205"/>
      <c r="O94" s="205"/>
      <c r="P94" s="205"/>
      <c r="Q94" s="180"/>
    </row>
    <row r="95" spans="1:17" s="67" customFormat="1">
      <c r="A95" s="348">
        <f t="shared" ref="A95:A100" si="3">A94+1</f>
        <v>67</v>
      </c>
      <c r="B95" s="348" t="s">
        <v>149</v>
      </c>
      <c r="C95" s="377" t="s">
        <v>602</v>
      </c>
      <c r="D95" s="348" t="s">
        <v>115</v>
      </c>
      <c r="E95" s="491">
        <v>77.63</v>
      </c>
      <c r="F95" s="170"/>
      <c r="G95" s="143"/>
      <c r="H95" s="145"/>
      <c r="I95" s="145"/>
      <c r="J95" s="156"/>
      <c r="K95" s="145"/>
      <c r="L95" s="145"/>
      <c r="M95" s="204"/>
      <c r="N95" s="204"/>
      <c r="O95" s="204"/>
      <c r="P95" s="204"/>
      <c r="Q95" s="180"/>
    </row>
    <row r="96" spans="1:17" s="67" customFormat="1">
      <c r="A96" s="348">
        <f t="shared" si="3"/>
        <v>68</v>
      </c>
      <c r="B96" s="348" t="s">
        <v>149</v>
      </c>
      <c r="C96" s="377" t="s">
        <v>603</v>
      </c>
      <c r="D96" s="348" t="s">
        <v>115</v>
      </c>
      <c r="E96" s="491">
        <v>10.7</v>
      </c>
      <c r="F96" s="170"/>
      <c r="G96" s="143"/>
      <c r="H96" s="145"/>
      <c r="I96" s="145"/>
      <c r="J96" s="156"/>
      <c r="K96" s="145"/>
      <c r="L96" s="145"/>
      <c r="M96" s="204"/>
      <c r="N96" s="204"/>
      <c r="O96" s="204"/>
      <c r="P96" s="204"/>
      <c r="Q96" s="180"/>
    </row>
    <row r="97" spans="1:17" s="67" customFormat="1">
      <c r="A97" s="348">
        <f t="shared" si="3"/>
        <v>69</v>
      </c>
      <c r="B97" s="348" t="s">
        <v>149</v>
      </c>
      <c r="C97" s="423" t="s">
        <v>605</v>
      </c>
      <c r="D97" s="348" t="s">
        <v>82</v>
      </c>
      <c r="E97" s="491">
        <f>225.99</f>
        <v>225.99</v>
      </c>
      <c r="F97" s="170"/>
      <c r="G97" s="143"/>
      <c r="H97" s="145"/>
      <c r="I97" s="145"/>
      <c r="J97" s="156"/>
      <c r="K97" s="145"/>
      <c r="L97" s="145"/>
      <c r="M97" s="204"/>
      <c r="N97" s="204"/>
      <c r="O97" s="204"/>
      <c r="P97" s="204"/>
      <c r="Q97" s="180"/>
    </row>
    <row r="98" spans="1:17" s="67" customFormat="1">
      <c r="A98" s="348">
        <f t="shared" si="3"/>
        <v>70</v>
      </c>
      <c r="B98" s="348" t="s">
        <v>149</v>
      </c>
      <c r="C98" s="423" t="s">
        <v>606</v>
      </c>
      <c r="D98" s="348" t="s">
        <v>82</v>
      </c>
      <c r="E98" s="491">
        <f>88</f>
        <v>88</v>
      </c>
      <c r="F98" s="170"/>
      <c r="G98" s="143"/>
      <c r="H98" s="145"/>
      <c r="I98" s="145"/>
      <c r="J98" s="156"/>
      <c r="K98" s="145"/>
      <c r="L98" s="145"/>
      <c r="M98" s="204"/>
      <c r="N98" s="204"/>
      <c r="O98" s="204"/>
      <c r="P98" s="204"/>
      <c r="Q98" s="180"/>
    </row>
    <row r="99" spans="1:17" s="67" customFormat="1" ht="24">
      <c r="A99" s="348">
        <f t="shared" si="3"/>
        <v>71</v>
      </c>
      <c r="B99" s="348" t="s">
        <v>149</v>
      </c>
      <c r="C99" s="377" t="s">
        <v>607</v>
      </c>
      <c r="D99" s="434" t="s">
        <v>82</v>
      </c>
      <c r="E99" s="354">
        <v>8.39</v>
      </c>
      <c r="F99" s="170"/>
      <c r="G99" s="143"/>
      <c r="H99" s="145"/>
      <c r="I99" s="145"/>
      <c r="J99" s="156"/>
      <c r="K99" s="145"/>
      <c r="L99" s="145"/>
      <c r="M99" s="204"/>
      <c r="N99" s="204"/>
      <c r="O99" s="204"/>
      <c r="P99" s="204"/>
      <c r="Q99" s="180"/>
    </row>
    <row r="100" spans="1:17" s="67" customFormat="1">
      <c r="A100" s="380">
        <f t="shared" si="3"/>
        <v>72</v>
      </c>
      <c r="B100" s="380" t="s">
        <v>149</v>
      </c>
      <c r="C100" s="381" t="s">
        <v>609</v>
      </c>
      <c r="D100" s="484" t="s">
        <v>82</v>
      </c>
      <c r="E100" s="441">
        <v>12.77</v>
      </c>
      <c r="F100" s="172"/>
      <c r="G100" s="159"/>
      <c r="H100" s="150"/>
      <c r="I100" s="150"/>
      <c r="J100" s="160"/>
      <c r="K100" s="150"/>
      <c r="L100" s="150"/>
      <c r="M100" s="207"/>
      <c r="N100" s="207"/>
      <c r="O100" s="207"/>
      <c r="P100" s="207"/>
      <c r="Q100" s="180"/>
    </row>
    <row r="101" spans="1:17" s="67" customFormat="1">
      <c r="A101" s="370"/>
      <c r="B101" s="370"/>
      <c r="C101" s="502" t="s">
        <v>623</v>
      </c>
      <c r="D101" s="370"/>
      <c r="E101" s="504"/>
      <c r="F101" s="221"/>
      <c r="G101" s="222"/>
      <c r="H101" s="135"/>
      <c r="I101" s="135"/>
      <c r="J101" s="223"/>
      <c r="K101" s="135"/>
      <c r="L101" s="135"/>
      <c r="M101" s="136"/>
      <c r="N101" s="136"/>
      <c r="O101" s="136"/>
      <c r="P101" s="136"/>
      <c r="Q101" s="180"/>
    </row>
    <row r="102" spans="1:17" s="67" customFormat="1">
      <c r="A102" s="370"/>
      <c r="B102" s="370"/>
      <c r="C102" s="509" t="s">
        <v>589</v>
      </c>
      <c r="D102" s="370"/>
      <c r="E102" s="504"/>
      <c r="F102" s="221"/>
      <c r="G102" s="222"/>
      <c r="H102" s="135"/>
      <c r="I102" s="135"/>
      <c r="J102" s="223"/>
      <c r="K102" s="135"/>
      <c r="L102" s="135"/>
      <c r="M102" s="136"/>
      <c r="N102" s="136"/>
      <c r="O102" s="136"/>
      <c r="P102" s="136"/>
      <c r="Q102" s="180"/>
    </row>
    <row r="103" spans="1:17" s="67" customFormat="1" ht="24">
      <c r="A103" s="385">
        <f>A100+1</f>
        <v>73</v>
      </c>
      <c r="B103" s="385" t="s">
        <v>149</v>
      </c>
      <c r="C103" s="428" t="s">
        <v>590</v>
      </c>
      <c r="D103" s="385" t="s">
        <v>82</v>
      </c>
      <c r="E103" s="507">
        <f>566.85</f>
        <v>566.85</v>
      </c>
      <c r="F103" s="171"/>
      <c r="G103" s="161"/>
      <c r="H103" s="146"/>
      <c r="I103" s="146"/>
      <c r="J103" s="163"/>
      <c r="K103" s="146"/>
      <c r="L103" s="146"/>
      <c r="M103" s="205"/>
      <c r="N103" s="205"/>
      <c r="O103" s="205"/>
      <c r="P103" s="205"/>
      <c r="Q103" s="180"/>
    </row>
    <row r="104" spans="1:17" s="67" customFormat="1" ht="24">
      <c r="A104" s="348">
        <f>A103+1</f>
        <v>74</v>
      </c>
      <c r="B104" s="348" t="s">
        <v>149</v>
      </c>
      <c r="C104" s="423" t="s">
        <v>591</v>
      </c>
      <c r="D104" s="348" t="s">
        <v>82</v>
      </c>
      <c r="E104" s="491">
        <v>44.41</v>
      </c>
      <c r="F104" s="170"/>
      <c r="G104" s="143"/>
      <c r="H104" s="145"/>
      <c r="I104" s="145"/>
      <c r="J104" s="156"/>
      <c r="K104" s="145"/>
      <c r="L104" s="145"/>
      <c r="M104" s="204"/>
      <c r="N104" s="204"/>
      <c r="O104" s="204"/>
      <c r="P104" s="204"/>
      <c r="Q104" s="180"/>
    </row>
    <row r="105" spans="1:17" s="67" customFormat="1" ht="24">
      <c r="A105" s="348">
        <f>A104+1</f>
        <v>75</v>
      </c>
      <c r="B105" s="348" t="s">
        <v>149</v>
      </c>
      <c r="C105" s="423" t="s">
        <v>624</v>
      </c>
      <c r="D105" s="348" t="s">
        <v>82</v>
      </c>
      <c r="E105" s="491">
        <v>218.45</v>
      </c>
      <c r="F105" s="170"/>
      <c r="G105" s="143"/>
      <c r="H105" s="145"/>
      <c r="I105" s="145"/>
      <c r="J105" s="156"/>
      <c r="K105" s="145"/>
      <c r="L105" s="145"/>
      <c r="M105" s="204"/>
      <c r="N105" s="204"/>
      <c r="O105" s="204"/>
      <c r="P105" s="204"/>
      <c r="Q105" s="180"/>
    </row>
    <row r="106" spans="1:17" s="67" customFormat="1">
      <c r="A106" s="348">
        <f>A105+1</f>
        <v>76</v>
      </c>
      <c r="B106" s="348" t="s">
        <v>149</v>
      </c>
      <c r="C106" s="423" t="s">
        <v>593</v>
      </c>
      <c r="D106" s="348" t="s">
        <v>82</v>
      </c>
      <c r="E106" s="491">
        <v>59.23</v>
      </c>
      <c r="F106" s="170"/>
      <c r="G106" s="143"/>
      <c r="H106" s="145"/>
      <c r="I106" s="145"/>
      <c r="J106" s="156"/>
      <c r="K106" s="145"/>
      <c r="L106" s="145"/>
      <c r="M106" s="204"/>
      <c r="N106" s="204"/>
      <c r="O106" s="204"/>
      <c r="P106" s="204"/>
      <c r="Q106" s="180"/>
    </row>
    <row r="107" spans="1:17" s="67" customFormat="1">
      <c r="A107" s="380">
        <f>A106+1</f>
        <v>77</v>
      </c>
      <c r="B107" s="380" t="s">
        <v>149</v>
      </c>
      <c r="C107" s="427" t="s">
        <v>594</v>
      </c>
      <c r="D107" s="380" t="s">
        <v>77</v>
      </c>
      <c r="E107" s="506">
        <v>8</v>
      </c>
      <c r="F107" s="172"/>
      <c r="G107" s="159"/>
      <c r="H107" s="150"/>
      <c r="I107" s="150"/>
      <c r="J107" s="160"/>
      <c r="K107" s="150"/>
      <c r="L107" s="150"/>
      <c r="M107" s="207"/>
      <c r="N107" s="207"/>
      <c r="O107" s="207"/>
      <c r="P107" s="207"/>
      <c r="Q107" s="180"/>
    </row>
    <row r="108" spans="1:17" s="67" customFormat="1">
      <c r="A108" s="370"/>
      <c r="B108" s="370"/>
      <c r="C108" s="509" t="s">
        <v>596</v>
      </c>
      <c r="D108" s="370"/>
      <c r="E108" s="504"/>
      <c r="F108" s="221"/>
      <c r="G108" s="222"/>
      <c r="H108" s="135"/>
      <c r="I108" s="135"/>
      <c r="J108" s="223"/>
      <c r="K108" s="135"/>
      <c r="L108" s="135"/>
      <c r="M108" s="136"/>
      <c r="N108" s="136"/>
      <c r="O108" s="136"/>
      <c r="P108" s="136"/>
      <c r="Q108" s="180"/>
    </row>
    <row r="109" spans="1:17" s="67" customFormat="1" ht="24">
      <c r="A109" s="385">
        <f>A107+1</f>
        <v>78</v>
      </c>
      <c r="B109" s="385" t="s">
        <v>149</v>
      </c>
      <c r="C109" s="510" t="s">
        <v>597</v>
      </c>
      <c r="D109" s="385" t="s">
        <v>82</v>
      </c>
      <c r="E109" s="507">
        <v>16.88</v>
      </c>
      <c r="F109" s="171"/>
      <c r="G109" s="161"/>
      <c r="H109" s="146"/>
      <c r="I109" s="146"/>
      <c r="J109" s="163"/>
      <c r="K109" s="146"/>
      <c r="L109" s="146"/>
      <c r="M109" s="205"/>
      <c r="N109" s="205"/>
      <c r="O109" s="205"/>
      <c r="P109" s="205"/>
      <c r="Q109" s="180"/>
    </row>
    <row r="110" spans="1:17" s="67" customFormat="1" ht="24">
      <c r="A110" s="348">
        <f>A109+1</f>
        <v>79</v>
      </c>
      <c r="B110" s="348" t="s">
        <v>149</v>
      </c>
      <c r="C110" s="490" t="s">
        <v>625</v>
      </c>
      <c r="D110" s="348" t="s">
        <v>82</v>
      </c>
      <c r="E110" s="491">
        <v>219.91</v>
      </c>
      <c r="F110" s="170"/>
      <c r="G110" s="143"/>
      <c r="H110" s="145"/>
      <c r="I110" s="145"/>
      <c r="J110" s="156"/>
      <c r="K110" s="145"/>
      <c r="L110" s="145"/>
      <c r="M110" s="204"/>
      <c r="N110" s="204"/>
      <c r="O110" s="204"/>
      <c r="P110" s="204"/>
      <c r="Q110" s="180"/>
    </row>
    <row r="111" spans="1:17" s="67" customFormat="1" ht="24">
      <c r="A111" s="348">
        <f>A110+1</f>
        <v>80</v>
      </c>
      <c r="B111" s="348" t="s">
        <v>149</v>
      </c>
      <c r="C111" s="490" t="s">
        <v>614</v>
      </c>
      <c r="D111" s="348" t="s">
        <v>82</v>
      </c>
      <c r="E111" s="491">
        <v>93.31</v>
      </c>
      <c r="F111" s="170"/>
      <c r="G111" s="143"/>
      <c r="H111" s="145"/>
      <c r="I111" s="145"/>
      <c r="J111" s="156"/>
      <c r="K111" s="145"/>
      <c r="L111" s="145"/>
      <c r="M111" s="204"/>
      <c r="N111" s="204"/>
      <c r="O111" s="204"/>
      <c r="P111" s="204"/>
      <c r="Q111" s="180"/>
    </row>
    <row r="112" spans="1:17" s="67" customFormat="1" ht="24">
      <c r="A112" s="348">
        <f>A111+1</f>
        <v>81</v>
      </c>
      <c r="B112" s="348" t="s">
        <v>149</v>
      </c>
      <c r="C112" s="490" t="s">
        <v>615</v>
      </c>
      <c r="D112" s="348" t="s">
        <v>82</v>
      </c>
      <c r="E112" s="491">
        <v>13.59</v>
      </c>
      <c r="F112" s="170"/>
      <c r="G112" s="143"/>
      <c r="H112" s="145"/>
      <c r="I112" s="145"/>
      <c r="J112" s="156"/>
      <c r="K112" s="145"/>
      <c r="L112" s="145"/>
      <c r="M112" s="204"/>
      <c r="N112" s="204"/>
      <c r="O112" s="204"/>
      <c r="P112" s="204"/>
      <c r="Q112" s="180"/>
    </row>
    <row r="113" spans="1:17" s="67" customFormat="1" ht="24">
      <c r="A113" s="380">
        <f>A112+1</f>
        <v>82</v>
      </c>
      <c r="B113" s="380" t="s">
        <v>149</v>
      </c>
      <c r="C113" s="511" t="s">
        <v>626</v>
      </c>
      <c r="D113" s="380" t="s">
        <v>82</v>
      </c>
      <c r="E113" s="506">
        <v>8.27</v>
      </c>
      <c r="F113" s="172"/>
      <c r="G113" s="159"/>
      <c r="H113" s="150"/>
      <c r="I113" s="150"/>
      <c r="J113" s="160"/>
      <c r="K113" s="150"/>
      <c r="L113" s="150"/>
      <c r="M113" s="207"/>
      <c r="N113" s="207"/>
      <c r="O113" s="207"/>
      <c r="P113" s="207"/>
      <c r="Q113" s="180"/>
    </row>
    <row r="114" spans="1:17" s="67" customFormat="1">
      <c r="A114" s="370"/>
      <c r="B114" s="370"/>
      <c r="C114" s="509" t="s">
        <v>600</v>
      </c>
      <c r="D114" s="370"/>
      <c r="E114" s="504"/>
      <c r="F114" s="221"/>
      <c r="G114" s="222"/>
      <c r="H114" s="135"/>
      <c r="I114" s="135"/>
      <c r="J114" s="223"/>
      <c r="K114" s="135"/>
      <c r="L114" s="135"/>
      <c r="M114" s="136"/>
      <c r="N114" s="136"/>
      <c r="O114" s="136"/>
      <c r="P114" s="136"/>
      <c r="Q114" s="180"/>
    </row>
    <row r="115" spans="1:17" s="67" customFormat="1">
      <c r="A115" s="385">
        <f>A113+1</f>
        <v>83</v>
      </c>
      <c r="B115" s="385" t="s">
        <v>149</v>
      </c>
      <c r="C115" s="386" t="s">
        <v>601</v>
      </c>
      <c r="D115" s="385" t="s">
        <v>115</v>
      </c>
      <c r="E115" s="507">
        <f>198.42</f>
        <v>198.42</v>
      </c>
      <c r="F115" s="171"/>
      <c r="G115" s="161"/>
      <c r="H115" s="146"/>
      <c r="I115" s="146"/>
      <c r="J115" s="163"/>
      <c r="K115" s="146"/>
      <c r="L115" s="146"/>
      <c r="M115" s="205"/>
      <c r="N115" s="205"/>
      <c r="O115" s="205"/>
      <c r="P115" s="205"/>
      <c r="Q115" s="180"/>
    </row>
    <row r="116" spans="1:17" s="67" customFormat="1">
      <c r="A116" s="348">
        <f t="shared" ref="A116:A121" si="4">A115+1</f>
        <v>84</v>
      </c>
      <c r="B116" s="348" t="s">
        <v>149</v>
      </c>
      <c r="C116" s="377" t="s">
        <v>602</v>
      </c>
      <c r="D116" s="348" t="s">
        <v>115</v>
      </c>
      <c r="E116" s="491">
        <f>81.9</f>
        <v>81.900000000000006</v>
      </c>
      <c r="F116" s="170"/>
      <c r="G116" s="143"/>
      <c r="H116" s="145"/>
      <c r="I116" s="145"/>
      <c r="J116" s="156"/>
      <c r="K116" s="145"/>
      <c r="L116" s="145"/>
      <c r="M116" s="204"/>
      <c r="N116" s="204"/>
      <c r="O116" s="204"/>
      <c r="P116" s="204"/>
      <c r="Q116" s="180"/>
    </row>
    <row r="117" spans="1:17" s="67" customFormat="1">
      <c r="A117" s="348">
        <f t="shared" si="4"/>
        <v>85</v>
      </c>
      <c r="B117" s="348" t="s">
        <v>149</v>
      </c>
      <c r="C117" s="377" t="s">
        <v>603</v>
      </c>
      <c r="D117" s="348" t="s">
        <v>115</v>
      </c>
      <c r="E117" s="491">
        <f>10.8</f>
        <v>10.8</v>
      </c>
      <c r="F117" s="170"/>
      <c r="G117" s="143"/>
      <c r="H117" s="145"/>
      <c r="I117" s="145"/>
      <c r="J117" s="156"/>
      <c r="K117" s="145"/>
      <c r="L117" s="145"/>
      <c r="M117" s="204"/>
      <c r="N117" s="204"/>
      <c r="O117" s="204"/>
      <c r="P117" s="204"/>
      <c r="Q117" s="180"/>
    </row>
    <row r="118" spans="1:17" s="67" customFormat="1">
      <c r="A118" s="348">
        <f t="shared" si="4"/>
        <v>86</v>
      </c>
      <c r="B118" s="348" t="s">
        <v>149</v>
      </c>
      <c r="C118" s="423" t="s">
        <v>605</v>
      </c>
      <c r="D118" s="348" t="s">
        <v>82</v>
      </c>
      <c r="E118" s="491">
        <f>216.32</f>
        <v>216.32</v>
      </c>
      <c r="F118" s="170"/>
      <c r="G118" s="143"/>
      <c r="H118" s="145"/>
      <c r="I118" s="145"/>
      <c r="J118" s="156"/>
      <c r="K118" s="145"/>
      <c r="L118" s="145"/>
      <c r="M118" s="204"/>
      <c r="N118" s="204"/>
      <c r="O118" s="204"/>
      <c r="P118" s="204"/>
      <c r="Q118" s="180"/>
    </row>
    <row r="119" spans="1:17" s="67" customFormat="1">
      <c r="A119" s="348">
        <f t="shared" si="4"/>
        <v>87</v>
      </c>
      <c r="B119" s="348" t="s">
        <v>149</v>
      </c>
      <c r="C119" s="423" t="s">
        <v>606</v>
      </c>
      <c r="D119" s="348" t="s">
        <v>82</v>
      </c>
      <c r="E119" s="491">
        <f>95.81</f>
        <v>95.81</v>
      </c>
      <c r="F119" s="170"/>
      <c r="G119" s="143"/>
      <c r="H119" s="145"/>
      <c r="I119" s="145"/>
      <c r="J119" s="156"/>
      <c r="K119" s="145"/>
      <c r="L119" s="145"/>
      <c r="M119" s="204"/>
      <c r="N119" s="204"/>
      <c r="O119" s="204"/>
      <c r="P119" s="204"/>
      <c r="Q119" s="180"/>
    </row>
    <row r="120" spans="1:17" s="67" customFormat="1" ht="24">
      <c r="A120" s="348">
        <f t="shared" si="4"/>
        <v>88</v>
      </c>
      <c r="B120" s="348" t="s">
        <v>149</v>
      </c>
      <c r="C120" s="377" t="s">
        <v>607</v>
      </c>
      <c r="D120" s="434" t="s">
        <v>82</v>
      </c>
      <c r="E120" s="354">
        <f>8.4</f>
        <v>8.4</v>
      </c>
      <c r="F120" s="170"/>
      <c r="G120" s="143"/>
      <c r="H120" s="145"/>
      <c r="I120" s="145"/>
      <c r="J120" s="156"/>
      <c r="K120" s="145"/>
      <c r="L120" s="145"/>
      <c r="M120" s="204"/>
      <c r="N120" s="204"/>
      <c r="O120" s="204"/>
      <c r="P120" s="204"/>
      <c r="Q120" s="180"/>
    </row>
    <row r="121" spans="1:17" s="67" customFormat="1">
      <c r="A121" s="366">
        <f t="shared" si="4"/>
        <v>89</v>
      </c>
      <c r="B121" s="366" t="s">
        <v>149</v>
      </c>
      <c r="C121" s="436" t="s">
        <v>609</v>
      </c>
      <c r="D121" s="437" t="s">
        <v>82</v>
      </c>
      <c r="E121" s="438">
        <f>14.42</f>
        <v>14.42</v>
      </c>
      <c r="F121" s="171"/>
      <c r="G121" s="161"/>
      <c r="H121" s="146"/>
      <c r="I121" s="146"/>
      <c r="J121" s="163"/>
      <c r="K121" s="146"/>
      <c r="L121" s="146"/>
      <c r="M121" s="205"/>
      <c r="N121" s="205"/>
      <c r="O121" s="205"/>
      <c r="P121" s="205"/>
      <c r="Q121" s="180"/>
    </row>
    <row r="122" spans="1:17">
      <c r="A122" s="890" t="s">
        <v>177</v>
      </c>
      <c r="B122" s="890"/>
      <c r="C122" s="890"/>
      <c r="D122" s="890"/>
      <c r="E122" s="890"/>
      <c r="F122" s="890"/>
      <c r="G122" s="890"/>
      <c r="H122" s="890"/>
      <c r="I122" s="890"/>
      <c r="J122" s="890"/>
      <c r="K122" s="890"/>
      <c r="L122" s="131">
        <f>SUM(L13:L121)</f>
        <v>0</v>
      </c>
      <c r="M122" s="131">
        <f>SUM(M13:M121)</f>
        <v>0</v>
      </c>
      <c r="N122" s="131">
        <f>SUM(N13:N121)</f>
        <v>0</v>
      </c>
      <c r="O122" s="131">
        <f>SUM(O13:O121)</f>
        <v>0</v>
      </c>
      <c r="P122" s="131">
        <f>SUM(P13:P121)</f>
        <v>0</v>
      </c>
    </row>
    <row r="123" spans="1:17" s="50" customFormat="1" collapsed="1">
      <c r="A123" s="885" t="s">
        <v>36</v>
      </c>
      <c r="B123" s="885"/>
      <c r="C123" s="1"/>
      <c r="D123" s="1"/>
      <c r="E123" s="98"/>
      <c r="F123" s="1"/>
      <c r="G123" s="1"/>
      <c r="H123" s="1"/>
      <c r="I123" s="1"/>
      <c r="J123" s="1"/>
      <c r="K123" s="1"/>
      <c r="L123" s="1"/>
      <c r="M123" s="1"/>
      <c r="N123" s="1"/>
      <c r="O123" s="1"/>
      <c r="P123" s="1"/>
      <c r="Q123" s="192"/>
    </row>
    <row r="124" spans="1:17" s="1" customFormat="1" ht="12.75" customHeight="1">
      <c r="A124" s="886" t="s">
        <v>56</v>
      </c>
      <c r="B124" s="886"/>
      <c r="C124" s="886"/>
      <c r="D124" s="886"/>
      <c r="E124" s="886"/>
      <c r="F124" s="886"/>
      <c r="G124" s="886"/>
      <c r="H124" s="886"/>
      <c r="I124" s="886"/>
      <c r="J124" s="886"/>
      <c r="K124" s="886"/>
      <c r="L124" s="886"/>
      <c r="M124" s="886"/>
      <c r="N124" s="886"/>
      <c r="O124" s="886"/>
      <c r="P124" s="886"/>
      <c r="Q124" s="177"/>
    </row>
    <row r="125" spans="1:17" s="1" customFormat="1" ht="12.75" customHeight="1">
      <c r="A125" s="910"/>
      <c r="B125" s="910"/>
      <c r="C125" s="50"/>
      <c r="D125" s="50"/>
      <c r="E125" s="103"/>
      <c r="F125" s="50"/>
      <c r="G125" s="50"/>
      <c r="H125" s="50"/>
      <c r="I125" s="50"/>
      <c r="J125" s="50"/>
      <c r="K125" s="50"/>
      <c r="L125" s="50"/>
      <c r="M125" s="50"/>
      <c r="N125" s="50"/>
      <c r="O125" s="50"/>
      <c r="P125" s="50"/>
      <c r="Q125" s="177"/>
    </row>
    <row r="126" spans="1:17" s="1" customFormat="1" ht="12.75" customHeight="1">
      <c r="A126" s="906" t="s">
        <v>7</v>
      </c>
      <c r="B126" s="906"/>
      <c r="C126" s="307"/>
      <c r="D126" s="50"/>
      <c r="E126" s="103"/>
      <c r="F126" s="50"/>
      <c r="G126" s="50"/>
      <c r="H126" s="50"/>
      <c r="I126" s="50"/>
      <c r="J126" s="50"/>
      <c r="K126" s="50"/>
      <c r="L126" s="307"/>
      <c r="M126" s="887"/>
      <c r="N126" s="887"/>
      <c r="O126" s="50"/>
      <c r="P126" s="50"/>
      <c r="Q126" s="177"/>
    </row>
    <row r="127" spans="1:17" s="1" customFormat="1" ht="12.75" customHeight="1">
      <c r="B127" s="58"/>
      <c r="E127" s="98"/>
      <c r="Q127" s="177"/>
    </row>
    <row r="128" spans="1:17" s="50" customFormat="1">
      <c r="E128" s="103"/>
      <c r="Q128" s="192"/>
    </row>
    <row r="129" spans="2:17" s="50" customFormat="1">
      <c r="C129" s="307"/>
      <c r="E129" s="103"/>
      <c r="L129" s="307"/>
      <c r="M129" s="887"/>
      <c r="N129" s="887"/>
      <c r="Q129" s="192"/>
    </row>
    <row r="130" spans="2:17" s="50" customFormat="1">
      <c r="C130" s="305"/>
      <c r="E130" s="103"/>
      <c r="L130" s="305"/>
      <c r="M130" s="878"/>
      <c r="N130" s="878"/>
      <c r="Q130" s="192"/>
    </row>
    <row r="131" spans="2:17" s="50" customFormat="1" collapsed="1">
      <c r="B131" s="87"/>
      <c r="E131" s="103"/>
      <c r="F131" s="87"/>
      <c r="G131" s="87"/>
      <c r="Q131" s="192"/>
    </row>
  </sheetData>
  <mergeCells count="27">
    <mergeCell ref="M129:N129"/>
    <mergeCell ref="M130:N130"/>
    <mergeCell ref="A122:K122"/>
    <mergeCell ref="A123:B123"/>
    <mergeCell ref="A124:P124"/>
    <mergeCell ref="A125:B125"/>
    <mergeCell ref="A126:B126"/>
    <mergeCell ref="M126:N126"/>
    <mergeCell ref="A5:B5"/>
    <mergeCell ref="C5:P5"/>
    <mergeCell ref="A6:B6"/>
    <mergeCell ref="A1:P1"/>
    <mergeCell ref="A2:P2"/>
    <mergeCell ref="A3:B3"/>
    <mergeCell ref="C3:P3"/>
    <mergeCell ref="A4:B4"/>
    <mergeCell ref="C4:P4"/>
    <mergeCell ref="C6:P6"/>
    <mergeCell ref="A7:B7"/>
    <mergeCell ref="C7:P7"/>
    <mergeCell ref="C10:C11"/>
    <mergeCell ref="D10:D11"/>
    <mergeCell ref="E10:E11"/>
    <mergeCell ref="F10:K10"/>
    <mergeCell ref="L10:P10"/>
    <mergeCell ref="A10:A11"/>
    <mergeCell ref="B10:B11"/>
  </mergeCells>
  <conditionalFormatting sqref="C61">
    <cfRule type="expression" priority="1" stopIfTrue="1">
      <formula>#REF!</formula>
    </cfRule>
  </conditionalFormatting>
  <conditionalFormatting sqref="C32">
    <cfRule type="expression" priority="24" stopIfTrue="1">
      <formula>#REF!</formula>
    </cfRule>
  </conditionalFormatting>
  <conditionalFormatting sqref="C32">
    <cfRule type="expression" priority="23" stopIfTrue="1">
      <formula>#REF!</formula>
    </cfRule>
  </conditionalFormatting>
  <conditionalFormatting sqref="C33">
    <cfRule type="expression" priority="22" stopIfTrue="1">
      <formula>#REF!</formula>
    </cfRule>
  </conditionalFormatting>
  <conditionalFormatting sqref="C33">
    <cfRule type="expression" priority="21" stopIfTrue="1">
      <formula>#REF!</formula>
    </cfRule>
  </conditionalFormatting>
  <conditionalFormatting sqref="C34">
    <cfRule type="expression" priority="20" stopIfTrue="1">
      <formula>#REF!</formula>
    </cfRule>
  </conditionalFormatting>
  <conditionalFormatting sqref="C34">
    <cfRule type="expression" priority="19" stopIfTrue="1">
      <formula>#REF!</formula>
    </cfRule>
  </conditionalFormatting>
  <conditionalFormatting sqref="C80">
    <cfRule type="expression" priority="18" stopIfTrue="1">
      <formula>#REF!</formula>
    </cfRule>
  </conditionalFormatting>
  <conditionalFormatting sqref="C80">
    <cfRule type="expression" priority="17" stopIfTrue="1">
      <formula>#REF!</formula>
    </cfRule>
  </conditionalFormatting>
  <conditionalFormatting sqref="C100">
    <cfRule type="expression" priority="16" stopIfTrue="1">
      <formula>#REF!</formula>
    </cfRule>
  </conditionalFormatting>
  <conditionalFormatting sqref="C100">
    <cfRule type="expression" priority="15" stopIfTrue="1">
      <formula>#REF!</formula>
    </cfRule>
  </conditionalFormatting>
  <conditionalFormatting sqref="C99">
    <cfRule type="expression" priority="14" stopIfTrue="1">
      <formula>#REF!</formula>
    </cfRule>
  </conditionalFormatting>
  <conditionalFormatting sqref="C99">
    <cfRule type="expression" priority="13" stopIfTrue="1">
      <formula>#REF!</formula>
    </cfRule>
  </conditionalFormatting>
  <conditionalFormatting sqref="C121">
    <cfRule type="expression" priority="12" stopIfTrue="1">
      <formula>#REF!</formula>
    </cfRule>
  </conditionalFormatting>
  <conditionalFormatting sqref="C121">
    <cfRule type="expression" priority="11" stopIfTrue="1">
      <formula>#REF!</formula>
    </cfRule>
  </conditionalFormatting>
  <conditionalFormatting sqref="C120">
    <cfRule type="expression" priority="10" stopIfTrue="1">
      <formula>#REF!</formula>
    </cfRule>
  </conditionalFormatting>
  <conditionalFormatting sqref="C120">
    <cfRule type="expression" priority="9" stopIfTrue="1">
      <formula>#REF!</formula>
    </cfRule>
  </conditionalFormatting>
  <conditionalFormatting sqref="C58">
    <cfRule type="expression" priority="8" stopIfTrue="1">
      <formula>#REF!</formula>
    </cfRule>
  </conditionalFormatting>
  <conditionalFormatting sqref="C58">
    <cfRule type="expression" priority="7" stopIfTrue="1">
      <formula>#REF!</formula>
    </cfRule>
  </conditionalFormatting>
  <conditionalFormatting sqref="C59">
    <cfRule type="expression" priority="6" stopIfTrue="1">
      <formula>#REF!</formula>
    </cfRule>
  </conditionalFormatting>
  <conditionalFormatting sqref="C59">
    <cfRule type="expression" priority="5" stopIfTrue="1">
      <formula>#REF!</formula>
    </cfRule>
  </conditionalFormatting>
  <conditionalFormatting sqref="C60">
    <cfRule type="expression" priority="4" stopIfTrue="1">
      <formula>#REF!</formula>
    </cfRule>
  </conditionalFormatting>
  <conditionalFormatting sqref="C60">
    <cfRule type="expression" priority="3" stopIfTrue="1">
      <formula>#REF!</formula>
    </cfRule>
  </conditionalFormatting>
  <conditionalFormatting sqref="C61">
    <cfRule type="expression" priority="2" stopIfTrue="1">
      <formula>#REF!</formula>
    </cfRule>
  </conditionalFormatting>
  <pageMargins left="0.27559055118110237" right="0.27559055118110237" top="0.74803149606299213" bottom="0.74803149606299213" header="0.31496062992125984" footer="0.31496062992125984"/>
  <pageSetup paperSize="9" scale="7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Q24"/>
  <sheetViews>
    <sheetView zoomScale="75" zoomScaleNormal="75" workbookViewId="0">
      <selection activeCell="E12" sqref="E12"/>
    </sheetView>
  </sheetViews>
  <sheetFormatPr defaultColWidth="9.140625" defaultRowHeight="15"/>
  <cols>
    <col min="1" max="1" width="8.85546875" style="60" customWidth="1"/>
    <col min="2" max="2" width="11.7109375" style="60" customWidth="1"/>
    <col min="3" max="3" width="45.5703125" style="88" customWidth="1"/>
    <col min="4" max="4" width="8.7109375" style="60" customWidth="1"/>
    <col min="5" max="5" width="8.7109375" style="102" customWidth="1"/>
    <col min="6" max="11" width="8.7109375" style="60" customWidth="1"/>
    <col min="12" max="16" width="12.7109375" style="60" customWidth="1"/>
    <col min="17" max="17" width="9.140625" style="186"/>
    <col min="18" max="16384" width="9.140625" style="60"/>
  </cols>
  <sheetData>
    <row r="1" spans="1:17" s="59" customFormat="1" ht="15.75">
      <c r="A1" s="909" t="s">
        <v>627</v>
      </c>
      <c r="B1" s="909"/>
      <c r="C1" s="909"/>
      <c r="D1" s="909"/>
      <c r="E1" s="909"/>
      <c r="F1" s="909"/>
      <c r="G1" s="909"/>
      <c r="H1" s="909"/>
      <c r="I1" s="909"/>
      <c r="J1" s="909"/>
      <c r="K1" s="909"/>
      <c r="L1" s="909"/>
      <c r="M1" s="909"/>
      <c r="N1" s="909"/>
      <c r="O1" s="909"/>
      <c r="P1" s="909"/>
      <c r="Q1" s="191"/>
    </row>
    <row r="2" spans="1:17" s="59" customFormat="1" ht="15.75">
      <c r="A2" s="899" t="s">
        <v>145</v>
      </c>
      <c r="B2" s="899"/>
      <c r="C2" s="899"/>
      <c r="D2" s="899"/>
      <c r="E2" s="899"/>
      <c r="F2" s="899"/>
      <c r="G2" s="899"/>
      <c r="H2" s="899"/>
      <c r="I2" s="899"/>
      <c r="J2" s="899"/>
      <c r="K2" s="899"/>
      <c r="L2" s="899"/>
      <c r="M2" s="899"/>
      <c r="N2" s="899"/>
      <c r="O2" s="899"/>
      <c r="P2" s="899"/>
      <c r="Q2" s="191"/>
    </row>
    <row r="3" spans="1:17" s="59" customFormat="1" ht="15.75">
      <c r="A3" s="876" t="s">
        <v>10</v>
      </c>
      <c r="B3" s="876"/>
      <c r="C3" s="859" t="s">
        <v>117</v>
      </c>
      <c r="D3" s="859"/>
      <c r="E3" s="859"/>
      <c r="F3" s="859"/>
      <c r="G3" s="859"/>
      <c r="H3" s="859"/>
      <c r="I3" s="859"/>
      <c r="J3" s="859"/>
      <c r="K3" s="859"/>
      <c r="L3" s="859"/>
      <c r="M3" s="859"/>
      <c r="N3" s="859"/>
      <c r="O3" s="859"/>
      <c r="P3" s="859"/>
      <c r="Q3" s="191"/>
    </row>
    <row r="4" spans="1:17" s="59" customFormat="1" ht="15.75">
      <c r="A4" s="876" t="s">
        <v>11</v>
      </c>
      <c r="B4" s="876"/>
      <c r="C4" s="859" t="s">
        <v>118</v>
      </c>
      <c r="D4" s="859"/>
      <c r="E4" s="859"/>
      <c r="F4" s="859"/>
      <c r="G4" s="859"/>
      <c r="H4" s="859"/>
      <c r="I4" s="859"/>
      <c r="J4" s="859"/>
      <c r="K4" s="859"/>
      <c r="L4" s="859"/>
      <c r="M4" s="859"/>
      <c r="N4" s="859"/>
      <c r="O4" s="859"/>
      <c r="P4" s="859"/>
      <c r="Q4" s="191"/>
    </row>
    <row r="5" spans="1:17" s="59" customFormat="1" ht="15.75">
      <c r="A5" s="876" t="s">
        <v>12</v>
      </c>
      <c r="B5" s="876"/>
      <c r="C5" s="859" t="s">
        <v>50</v>
      </c>
      <c r="D5" s="859"/>
      <c r="E5" s="859"/>
      <c r="F5" s="859"/>
      <c r="G5" s="859"/>
      <c r="H5" s="859"/>
      <c r="I5" s="859"/>
      <c r="J5" s="859"/>
      <c r="K5" s="859"/>
      <c r="L5" s="859"/>
      <c r="M5" s="859"/>
      <c r="N5" s="859"/>
      <c r="O5" s="859"/>
      <c r="P5" s="859"/>
      <c r="Q5" s="191"/>
    </row>
    <row r="6" spans="1:17" s="59" customFormat="1" ht="15.75">
      <c r="A6" s="876" t="s">
        <v>30</v>
      </c>
      <c r="B6" s="876"/>
      <c r="C6" s="874"/>
      <c r="D6" s="874"/>
      <c r="E6" s="874"/>
      <c r="F6" s="874"/>
      <c r="G6" s="874"/>
      <c r="H6" s="874"/>
      <c r="I6" s="874"/>
      <c r="J6" s="874"/>
      <c r="K6" s="874"/>
      <c r="L6" s="874"/>
      <c r="M6" s="874"/>
      <c r="N6" s="874"/>
      <c r="O6" s="874"/>
      <c r="P6" s="874"/>
      <c r="Q6" s="191"/>
    </row>
    <row r="7" spans="1:17" s="59" customFormat="1" ht="15.75">
      <c r="A7" s="876" t="s">
        <v>54</v>
      </c>
      <c r="B7" s="876"/>
      <c r="C7" s="873"/>
      <c r="D7" s="873"/>
      <c r="E7" s="873"/>
      <c r="F7" s="873"/>
      <c r="G7" s="873"/>
      <c r="H7" s="873"/>
      <c r="I7" s="873"/>
      <c r="J7" s="873"/>
      <c r="K7" s="873"/>
      <c r="L7" s="873"/>
      <c r="M7" s="873"/>
      <c r="N7" s="873"/>
      <c r="O7" s="873"/>
      <c r="P7" s="873"/>
      <c r="Q7" s="191"/>
    </row>
    <row r="8" spans="1:17" s="59" customFormat="1" ht="15.75">
      <c r="E8" s="107"/>
      <c r="J8" s="73"/>
      <c r="K8" s="73"/>
      <c r="L8" s="66"/>
      <c r="M8" s="66"/>
      <c r="N8" s="74"/>
      <c r="O8" s="63" t="s">
        <v>52</v>
      </c>
      <c r="P8" s="75">
        <f>P15</f>
        <v>0</v>
      </c>
      <c r="Q8" s="191"/>
    </row>
    <row r="9" spans="1:17">
      <c r="C9" s="60"/>
    </row>
    <row r="10" spans="1:17"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7"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7">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7" s="67" customFormat="1">
      <c r="A13" s="370"/>
      <c r="B13" s="370"/>
      <c r="C13" s="502" t="s">
        <v>145</v>
      </c>
      <c r="D13" s="513"/>
      <c r="E13" s="439"/>
      <c r="F13" s="221"/>
      <c r="G13" s="222"/>
      <c r="H13" s="135"/>
      <c r="I13" s="135"/>
      <c r="J13" s="223"/>
      <c r="K13" s="135"/>
      <c r="L13" s="135"/>
      <c r="M13" s="136"/>
      <c r="N13" s="136"/>
      <c r="O13" s="136"/>
      <c r="P13" s="136"/>
      <c r="Q13" s="180"/>
    </row>
    <row r="14" spans="1:17" s="67" customFormat="1" ht="24">
      <c r="A14" s="449">
        <f>A13+1</f>
        <v>1</v>
      </c>
      <c r="B14" s="449" t="s">
        <v>149</v>
      </c>
      <c r="C14" s="514" t="s">
        <v>628</v>
      </c>
      <c r="D14" s="512" t="s">
        <v>90</v>
      </c>
      <c r="E14" s="515">
        <v>1</v>
      </c>
      <c r="F14" s="171"/>
      <c r="G14" s="161"/>
      <c r="H14" s="146"/>
      <c r="I14" s="146"/>
      <c r="J14" s="163"/>
      <c r="K14" s="146"/>
      <c r="L14" s="146"/>
      <c r="M14" s="205"/>
      <c r="N14" s="205"/>
      <c r="O14" s="205"/>
      <c r="P14" s="205"/>
      <c r="Q14" s="180"/>
    </row>
    <row r="15" spans="1:17">
      <c r="A15" s="890" t="s">
        <v>177</v>
      </c>
      <c r="B15" s="890"/>
      <c r="C15" s="890"/>
      <c r="D15" s="890"/>
      <c r="E15" s="890"/>
      <c r="F15" s="890"/>
      <c r="G15" s="890"/>
      <c r="H15" s="890"/>
      <c r="I15" s="890"/>
      <c r="J15" s="890"/>
      <c r="K15" s="890"/>
      <c r="L15" s="131">
        <f>SUM(L13:L14)</f>
        <v>0</v>
      </c>
      <c r="M15" s="131">
        <f>SUM(M13:M14)</f>
        <v>0</v>
      </c>
      <c r="N15" s="131">
        <f>SUM(N13:N14)</f>
        <v>0</v>
      </c>
      <c r="O15" s="131">
        <f>SUM(O13:O14)</f>
        <v>0</v>
      </c>
      <c r="P15" s="131">
        <f>SUM(P13:P14)</f>
        <v>0</v>
      </c>
    </row>
    <row r="16" spans="1:17" s="50" customFormat="1" collapsed="1">
      <c r="A16" s="885" t="s">
        <v>36</v>
      </c>
      <c r="B16" s="885"/>
      <c r="C16" s="1"/>
      <c r="D16" s="1"/>
      <c r="E16" s="98"/>
      <c r="F16" s="1"/>
      <c r="G16" s="1"/>
      <c r="H16" s="1"/>
      <c r="I16" s="1"/>
      <c r="J16" s="1"/>
      <c r="K16" s="1"/>
      <c r="L16" s="1"/>
      <c r="M16" s="1"/>
      <c r="N16" s="1"/>
      <c r="O16" s="1"/>
      <c r="P16" s="1"/>
      <c r="Q16" s="192"/>
    </row>
    <row r="17" spans="1:17" s="1" customFormat="1" ht="12.75" customHeight="1">
      <c r="A17" s="886" t="s">
        <v>56</v>
      </c>
      <c r="B17" s="886"/>
      <c r="C17" s="886"/>
      <c r="D17" s="886"/>
      <c r="E17" s="886"/>
      <c r="F17" s="886"/>
      <c r="G17" s="886"/>
      <c r="H17" s="886"/>
      <c r="I17" s="886"/>
      <c r="J17" s="886"/>
      <c r="K17" s="886"/>
      <c r="L17" s="886"/>
      <c r="M17" s="886"/>
      <c r="N17" s="886"/>
      <c r="O17" s="886"/>
      <c r="P17" s="886"/>
      <c r="Q17" s="177"/>
    </row>
    <row r="18" spans="1:17" s="1" customFormat="1" ht="12.75" customHeight="1">
      <c r="A18" s="910"/>
      <c r="B18" s="910"/>
      <c r="C18" s="50"/>
      <c r="D18" s="50"/>
      <c r="E18" s="103"/>
      <c r="F18" s="50"/>
      <c r="G18" s="50"/>
      <c r="H18" s="50"/>
      <c r="I18" s="50"/>
      <c r="J18" s="50"/>
      <c r="K18" s="50"/>
      <c r="L18" s="50"/>
      <c r="M18" s="50"/>
      <c r="N18" s="50"/>
      <c r="O18" s="50"/>
      <c r="P18" s="50"/>
      <c r="Q18" s="177"/>
    </row>
    <row r="19" spans="1:17" s="1" customFormat="1" ht="12.75" customHeight="1">
      <c r="A19" s="906" t="s">
        <v>7</v>
      </c>
      <c r="B19" s="906"/>
      <c r="C19" s="307"/>
      <c r="D19" s="50"/>
      <c r="E19" s="103"/>
      <c r="F19" s="50"/>
      <c r="G19" s="50"/>
      <c r="H19" s="50"/>
      <c r="I19" s="50"/>
      <c r="J19" s="50"/>
      <c r="K19" s="50"/>
      <c r="L19" s="307"/>
      <c r="M19" s="887"/>
      <c r="N19" s="887"/>
      <c r="O19" s="50"/>
      <c r="P19" s="50"/>
      <c r="Q19" s="177"/>
    </row>
    <row r="20" spans="1:17" s="1" customFormat="1" ht="12.75" customHeight="1">
      <c r="B20" s="58"/>
      <c r="E20" s="98"/>
      <c r="Q20" s="177"/>
    </row>
    <row r="21" spans="1:17" s="50" customFormat="1">
      <c r="E21" s="103"/>
      <c r="Q21" s="192"/>
    </row>
    <row r="22" spans="1:17" s="50" customFormat="1">
      <c r="C22" s="307"/>
      <c r="E22" s="103"/>
      <c r="L22" s="307"/>
      <c r="M22" s="887"/>
      <c r="N22" s="887"/>
      <c r="Q22" s="192"/>
    </row>
    <row r="23" spans="1:17" s="50" customFormat="1">
      <c r="C23" s="305"/>
      <c r="E23" s="103"/>
      <c r="L23" s="305"/>
      <c r="M23" s="878"/>
      <c r="N23" s="878"/>
      <c r="Q23" s="192"/>
    </row>
    <row r="24" spans="1:17" s="50" customFormat="1" collapsed="1">
      <c r="B24" s="87"/>
      <c r="E24" s="103"/>
      <c r="F24" s="87"/>
      <c r="G24" s="87"/>
      <c r="Q24" s="192"/>
    </row>
  </sheetData>
  <mergeCells count="27">
    <mergeCell ref="M22:N22"/>
    <mergeCell ref="M23:N23"/>
    <mergeCell ref="L10:P10"/>
    <mergeCell ref="A15:K15"/>
    <mergeCell ref="A16:B16"/>
    <mergeCell ref="A17:P17"/>
    <mergeCell ref="A18:B18"/>
    <mergeCell ref="A19:B19"/>
    <mergeCell ref="M19:N19"/>
    <mergeCell ref="A10:A11"/>
    <mergeCell ref="B10:B11"/>
    <mergeCell ref="C10:C11"/>
    <mergeCell ref="D10:D11"/>
    <mergeCell ref="E10:E11"/>
    <mergeCell ref="F10:K10"/>
    <mergeCell ref="A5:B5"/>
    <mergeCell ref="C5:P5"/>
    <mergeCell ref="A6:B6"/>
    <mergeCell ref="C6:P6"/>
    <mergeCell ref="A7:B7"/>
    <mergeCell ref="C7:P7"/>
    <mergeCell ref="A1:P1"/>
    <mergeCell ref="A2:P2"/>
    <mergeCell ref="A3:B3"/>
    <mergeCell ref="C3:P3"/>
    <mergeCell ref="A4:B4"/>
    <mergeCell ref="C4:P4"/>
  </mergeCells>
  <conditionalFormatting sqref="C14">
    <cfRule type="expression" priority="1" stopIfTrue="1">
      <formula>#REF!</formula>
    </cfRule>
  </conditionalFormatting>
  <conditionalFormatting sqref="C14">
    <cfRule type="expression" priority="2" stopIfTrue="1">
      <formula>#REF!</formula>
    </cfRule>
  </conditionalFormatting>
  <pageMargins left="0.25" right="0.25" top="0.75" bottom="0.75" header="0.3" footer="0.3"/>
  <pageSetup paperSize="9" scale="7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Q40"/>
  <sheetViews>
    <sheetView tabSelected="1" zoomScale="75" zoomScaleNormal="75" workbookViewId="0">
      <selection activeCell="A28" sqref="A28:P28"/>
    </sheetView>
  </sheetViews>
  <sheetFormatPr defaultColWidth="9.140625" defaultRowHeight="15"/>
  <cols>
    <col min="1" max="1" width="8.85546875" style="60" customWidth="1"/>
    <col min="2" max="2" width="11.7109375" style="60" customWidth="1"/>
    <col min="3" max="3" width="45.5703125" style="88" customWidth="1"/>
    <col min="4" max="4" width="8.7109375" style="60" customWidth="1"/>
    <col min="5" max="5" width="8.7109375" style="102" customWidth="1"/>
    <col min="6" max="11" width="8.7109375" style="60" customWidth="1"/>
    <col min="12" max="16" width="12.7109375" style="60" customWidth="1"/>
    <col min="17" max="17" width="9.140625" style="186"/>
    <col min="18" max="16384" width="9.140625" style="60"/>
  </cols>
  <sheetData>
    <row r="1" spans="1:17" s="59" customFormat="1" ht="15.75">
      <c r="A1" s="909" t="s">
        <v>629</v>
      </c>
      <c r="B1" s="909"/>
      <c r="C1" s="909"/>
      <c r="D1" s="909"/>
      <c r="E1" s="909"/>
      <c r="F1" s="909"/>
      <c r="G1" s="909"/>
      <c r="H1" s="909"/>
      <c r="I1" s="909"/>
      <c r="J1" s="909"/>
      <c r="K1" s="909"/>
      <c r="L1" s="909"/>
      <c r="M1" s="909"/>
      <c r="N1" s="909"/>
      <c r="O1" s="909"/>
      <c r="P1" s="909"/>
      <c r="Q1" s="191"/>
    </row>
    <row r="2" spans="1:17" s="59" customFormat="1" ht="15.75">
      <c r="A2" s="899" t="s">
        <v>76</v>
      </c>
      <c r="B2" s="899"/>
      <c r="C2" s="899"/>
      <c r="D2" s="899"/>
      <c r="E2" s="899"/>
      <c r="F2" s="899"/>
      <c r="G2" s="899"/>
      <c r="H2" s="899"/>
      <c r="I2" s="899"/>
      <c r="J2" s="899"/>
      <c r="K2" s="899"/>
      <c r="L2" s="899"/>
      <c r="M2" s="899"/>
      <c r="N2" s="899"/>
      <c r="O2" s="899"/>
      <c r="P2" s="899"/>
      <c r="Q2" s="191"/>
    </row>
    <row r="3" spans="1:17" s="59" customFormat="1" ht="15.75">
      <c r="A3" s="876" t="s">
        <v>10</v>
      </c>
      <c r="B3" s="876"/>
      <c r="C3" s="859" t="s">
        <v>117</v>
      </c>
      <c r="D3" s="859"/>
      <c r="E3" s="859"/>
      <c r="F3" s="859"/>
      <c r="G3" s="859"/>
      <c r="H3" s="859"/>
      <c r="I3" s="859"/>
      <c r="J3" s="859"/>
      <c r="K3" s="859"/>
      <c r="L3" s="859"/>
      <c r="M3" s="859"/>
      <c r="N3" s="859"/>
      <c r="O3" s="859"/>
      <c r="P3" s="859"/>
      <c r="Q3" s="191"/>
    </row>
    <row r="4" spans="1:17" s="59" customFormat="1" ht="15.75">
      <c r="A4" s="876" t="s">
        <v>11</v>
      </c>
      <c r="B4" s="876"/>
      <c r="C4" s="859" t="s">
        <v>118</v>
      </c>
      <c r="D4" s="859"/>
      <c r="E4" s="859"/>
      <c r="F4" s="859"/>
      <c r="G4" s="859"/>
      <c r="H4" s="859"/>
      <c r="I4" s="859"/>
      <c r="J4" s="859"/>
      <c r="K4" s="859"/>
      <c r="L4" s="859"/>
      <c r="M4" s="859"/>
      <c r="N4" s="859"/>
      <c r="O4" s="859"/>
      <c r="P4" s="859"/>
      <c r="Q4" s="191"/>
    </row>
    <row r="5" spans="1:17" s="59" customFormat="1" ht="15.75">
      <c r="A5" s="876" t="s">
        <v>12</v>
      </c>
      <c r="B5" s="876"/>
      <c r="C5" s="859" t="s">
        <v>50</v>
      </c>
      <c r="D5" s="859"/>
      <c r="E5" s="859"/>
      <c r="F5" s="859"/>
      <c r="G5" s="859"/>
      <c r="H5" s="859"/>
      <c r="I5" s="859"/>
      <c r="J5" s="859"/>
      <c r="K5" s="859"/>
      <c r="L5" s="859"/>
      <c r="M5" s="859"/>
      <c r="N5" s="859"/>
      <c r="O5" s="859"/>
      <c r="P5" s="859"/>
      <c r="Q5" s="191"/>
    </row>
    <row r="6" spans="1:17" s="59" customFormat="1" ht="15.75">
      <c r="A6" s="876" t="s">
        <v>30</v>
      </c>
      <c r="B6" s="876"/>
      <c r="C6" s="874"/>
      <c r="D6" s="874"/>
      <c r="E6" s="874"/>
      <c r="F6" s="874"/>
      <c r="G6" s="874"/>
      <c r="H6" s="874"/>
      <c r="I6" s="874"/>
      <c r="J6" s="874"/>
      <c r="K6" s="874"/>
      <c r="L6" s="874"/>
      <c r="M6" s="874"/>
      <c r="N6" s="874"/>
      <c r="O6" s="874"/>
      <c r="P6" s="874"/>
      <c r="Q6" s="191"/>
    </row>
    <row r="7" spans="1:17" s="59" customFormat="1" ht="15.75">
      <c r="A7" s="876" t="s">
        <v>54</v>
      </c>
      <c r="B7" s="876"/>
      <c r="C7" s="873"/>
      <c r="D7" s="873"/>
      <c r="E7" s="873"/>
      <c r="F7" s="873"/>
      <c r="G7" s="873"/>
      <c r="H7" s="873"/>
      <c r="I7" s="873"/>
      <c r="J7" s="873"/>
      <c r="K7" s="873"/>
      <c r="L7" s="873"/>
      <c r="M7" s="873"/>
      <c r="N7" s="873"/>
      <c r="O7" s="873"/>
      <c r="P7" s="873"/>
      <c r="Q7" s="191"/>
    </row>
    <row r="8" spans="1:17" s="59" customFormat="1" ht="15.75">
      <c r="E8" s="107"/>
      <c r="J8" s="73"/>
      <c r="K8" s="73"/>
      <c r="L8" s="66"/>
      <c r="M8" s="66"/>
      <c r="N8" s="74"/>
      <c r="O8" s="63" t="s">
        <v>52</v>
      </c>
      <c r="P8" s="75">
        <f>P31</f>
        <v>0</v>
      </c>
      <c r="Q8" s="191"/>
    </row>
    <row r="9" spans="1:17">
      <c r="C9" s="60"/>
    </row>
    <row r="10" spans="1:17"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7"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7">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7" s="67" customFormat="1">
      <c r="A13" s="370"/>
      <c r="B13" s="370"/>
      <c r="C13" s="358" t="s">
        <v>630</v>
      </c>
      <c r="D13" s="446"/>
      <c r="E13" s="470"/>
      <c r="F13" s="221"/>
      <c r="G13" s="222"/>
      <c r="H13" s="135"/>
      <c r="I13" s="135"/>
      <c r="J13" s="223"/>
      <c r="K13" s="135"/>
      <c r="L13" s="135"/>
      <c r="M13" s="136"/>
      <c r="N13" s="136"/>
      <c r="O13" s="136"/>
      <c r="P13" s="136"/>
      <c r="Q13" s="180"/>
    </row>
    <row r="14" spans="1:17" s="67" customFormat="1">
      <c r="A14" s="344">
        <v>1</v>
      </c>
      <c r="B14" s="344" t="s">
        <v>149</v>
      </c>
      <c r="C14" s="452" t="s">
        <v>631</v>
      </c>
      <c r="D14" s="516" t="s">
        <v>87</v>
      </c>
      <c r="E14" s="501">
        <v>1</v>
      </c>
      <c r="F14" s="173"/>
      <c r="G14" s="174"/>
      <c r="H14" s="153"/>
      <c r="I14" s="153"/>
      <c r="J14" s="175"/>
      <c r="K14" s="153"/>
      <c r="L14" s="153"/>
      <c r="M14" s="208"/>
      <c r="N14" s="208"/>
      <c r="O14" s="208"/>
      <c r="P14" s="208"/>
      <c r="Q14" s="180"/>
    </row>
    <row r="15" spans="1:17" s="67" customFormat="1">
      <c r="A15" s="348">
        <f t="shared" ref="A15:A26" si="0">A14+1</f>
        <v>2</v>
      </c>
      <c r="B15" s="348" t="s">
        <v>149</v>
      </c>
      <c r="C15" s="377" t="s">
        <v>632</v>
      </c>
      <c r="D15" s="434" t="s">
        <v>87</v>
      </c>
      <c r="E15" s="354">
        <v>1</v>
      </c>
      <c r="F15" s="170"/>
      <c r="G15" s="143"/>
      <c r="H15" s="145"/>
      <c r="I15" s="145"/>
      <c r="J15" s="156"/>
      <c r="K15" s="145"/>
      <c r="L15" s="145"/>
      <c r="M15" s="204"/>
      <c r="N15" s="204"/>
      <c r="O15" s="204"/>
      <c r="P15" s="204"/>
      <c r="Q15" s="180"/>
    </row>
    <row r="16" spans="1:17" s="67" customFormat="1">
      <c r="A16" s="348">
        <f t="shared" si="0"/>
        <v>3</v>
      </c>
      <c r="B16" s="348" t="s">
        <v>149</v>
      </c>
      <c r="C16" s="377" t="s">
        <v>633</v>
      </c>
      <c r="D16" s="434" t="s">
        <v>87</v>
      </c>
      <c r="E16" s="354">
        <v>1</v>
      </c>
      <c r="F16" s="170"/>
      <c r="G16" s="143"/>
      <c r="H16" s="145"/>
      <c r="I16" s="145"/>
      <c r="J16" s="156"/>
      <c r="K16" s="145"/>
      <c r="L16" s="145"/>
      <c r="M16" s="204"/>
      <c r="N16" s="204"/>
      <c r="O16" s="204"/>
      <c r="P16" s="204"/>
      <c r="Q16" s="180"/>
    </row>
    <row r="17" spans="1:17" s="67" customFormat="1">
      <c r="A17" s="348">
        <f t="shared" si="0"/>
        <v>4</v>
      </c>
      <c r="B17" s="348" t="s">
        <v>149</v>
      </c>
      <c r="C17" s="377" t="s">
        <v>634</v>
      </c>
      <c r="D17" s="434" t="s">
        <v>87</v>
      </c>
      <c r="E17" s="354">
        <v>1</v>
      </c>
      <c r="F17" s="170"/>
      <c r="G17" s="143"/>
      <c r="H17" s="145"/>
      <c r="I17" s="145"/>
      <c r="J17" s="156"/>
      <c r="K17" s="145"/>
      <c r="L17" s="145"/>
      <c r="M17" s="204"/>
      <c r="N17" s="204"/>
      <c r="O17" s="204"/>
      <c r="P17" s="204"/>
      <c r="Q17" s="180"/>
    </row>
    <row r="18" spans="1:17" s="67" customFormat="1">
      <c r="A18" s="348">
        <f t="shared" si="0"/>
        <v>5</v>
      </c>
      <c r="B18" s="348" t="s">
        <v>149</v>
      </c>
      <c r="C18" s="377" t="s">
        <v>635</v>
      </c>
      <c r="D18" s="434" t="s">
        <v>87</v>
      </c>
      <c r="E18" s="354">
        <v>1</v>
      </c>
      <c r="F18" s="170"/>
      <c r="G18" s="143"/>
      <c r="H18" s="145"/>
      <c r="I18" s="145"/>
      <c r="J18" s="156"/>
      <c r="K18" s="145"/>
      <c r="L18" s="145"/>
      <c r="M18" s="204"/>
      <c r="N18" s="204"/>
      <c r="O18" s="204"/>
      <c r="P18" s="204"/>
      <c r="Q18" s="180"/>
    </row>
    <row r="19" spans="1:17" s="67" customFormat="1">
      <c r="A19" s="348">
        <f t="shared" si="0"/>
        <v>6</v>
      </c>
      <c r="B19" s="348" t="s">
        <v>149</v>
      </c>
      <c r="C19" s="377" t="s">
        <v>636</v>
      </c>
      <c r="D19" s="434" t="s">
        <v>87</v>
      </c>
      <c r="E19" s="354">
        <v>1</v>
      </c>
      <c r="F19" s="170"/>
      <c r="G19" s="143"/>
      <c r="H19" s="145"/>
      <c r="I19" s="145"/>
      <c r="J19" s="156"/>
      <c r="K19" s="145"/>
      <c r="L19" s="145"/>
      <c r="M19" s="204"/>
      <c r="N19" s="204"/>
      <c r="O19" s="204"/>
      <c r="P19" s="204"/>
      <c r="Q19" s="180"/>
    </row>
    <row r="20" spans="1:17" s="67" customFormat="1">
      <c r="A20" s="348">
        <f t="shared" si="0"/>
        <v>7</v>
      </c>
      <c r="B20" s="348" t="s">
        <v>149</v>
      </c>
      <c r="C20" s="377" t="s">
        <v>637</v>
      </c>
      <c r="D20" s="434" t="s">
        <v>87</v>
      </c>
      <c r="E20" s="354">
        <v>1</v>
      </c>
      <c r="F20" s="170"/>
      <c r="G20" s="143"/>
      <c r="H20" s="145"/>
      <c r="I20" s="145"/>
      <c r="J20" s="156"/>
      <c r="K20" s="145"/>
      <c r="L20" s="145"/>
      <c r="M20" s="204"/>
      <c r="N20" s="204"/>
      <c r="O20" s="204"/>
      <c r="P20" s="204"/>
      <c r="Q20" s="180"/>
    </row>
    <row r="21" spans="1:17" s="67" customFormat="1">
      <c r="A21" s="348">
        <f t="shared" si="0"/>
        <v>8</v>
      </c>
      <c r="B21" s="348" t="s">
        <v>149</v>
      </c>
      <c r="C21" s="377" t="s">
        <v>638</v>
      </c>
      <c r="D21" s="434" t="s">
        <v>87</v>
      </c>
      <c r="E21" s="354">
        <v>1</v>
      </c>
      <c r="F21" s="170"/>
      <c r="G21" s="143"/>
      <c r="H21" s="145"/>
      <c r="I21" s="145"/>
      <c r="J21" s="156"/>
      <c r="K21" s="145"/>
      <c r="L21" s="145"/>
      <c r="M21" s="204"/>
      <c r="N21" s="204"/>
      <c r="O21" s="204"/>
      <c r="P21" s="204"/>
      <c r="Q21" s="180"/>
    </row>
    <row r="22" spans="1:17" s="67" customFormat="1">
      <c r="A22" s="348">
        <f t="shared" si="0"/>
        <v>9</v>
      </c>
      <c r="B22" s="348" t="s">
        <v>149</v>
      </c>
      <c r="C22" s="377" t="s">
        <v>639</v>
      </c>
      <c r="D22" s="434" t="s">
        <v>87</v>
      </c>
      <c r="E22" s="354">
        <v>1</v>
      </c>
      <c r="F22" s="170"/>
      <c r="G22" s="143"/>
      <c r="H22" s="145"/>
      <c r="I22" s="145"/>
      <c r="J22" s="156"/>
      <c r="K22" s="145"/>
      <c r="L22" s="145"/>
      <c r="M22" s="204"/>
      <c r="N22" s="204"/>
      <c r="O22" s="204"/>
      <c r="P22" s="204"/>
      <c r="Q22" s="180"/>
    </row>
    <row r="23" spans="1:17" s="67" customFormat="1">
      <c r="A23" s="348">
        <f t="shared" si="0"/>
        <v>10</v>
      </c>
      <c r="B23" s="348" t="s">
        <v>149</v>
      </c>
      <c r="C23" s="377" t="s">
        <v>640</v>
      </c>
      <c r="D23" s="434" t="s">
        <v>87</v>
      </c>
      <c r="E23" s="354">
        <v>1</v>
      </c>
      <c r="F23" s="170"/>
      <c r="G23" s="143"/>
      <c r="H23" s="145"/>
      <c r="I23" s="145"/>
      <c r="J23" s="156"/>
      <c r="K23" s="145"/>
      <c r="L23" s="145"/>
      <c r="M23" s="204"/>
      <c r="N23" s="204"/>
      <c r="O23" s="204"/>
      <c r="P23" s="204"/>
      <c r="Q23" s="180"/>
    </row>
    <row r="24" spans="1:17" s="67" customFormat="1">
      <c r="A24" s="348">
        <f t="shared" si="0"/>
        <v>11</v>
      </c>
      <c r="B24" s="348" t="s">
        <v>149</v>
      </c>
      <c r="C24" s="377" t="s">
        <v>641</v>
      </c>
      <c r="D24" s="434" t="s">
        <v>87</v>
      </c>
      <c r="E24" s="354">
        <v>1</v>
      </c>
      <c r="F24" s="170"/>
      <c r="G24" s="143"/>
      <c r="H24" s="145"/>
      <c r="I24" s="145"/>
      <c r="J24" s="156"/>
      <c r="K24" s="145"/>
      <c r="L24" s="145"/>
      <c r="M24" s="204"/>
      <c r="N24" s="204"/>
      <c r="O24" s="204"/>
      <c r="P24" s="204"/>
      <c r="Q24" s="180"/>
    </row>
    <row r="25" spans="1:17" s="67" customFormat="1">
      <c r="A25" s="348">
        <f t="shared" si="0"/>
        <v>12</v>
      </c>
      <c r="B25" s="348" t="s">
        <v>149</v>
      </c>
      <c r="C25" s="377" t="s">
        <v>642</v>
      </c>
      <c r="D25" s="434" t="s">
        <v>87</v>
      </c>
      <c r="E25" s="354">
        <v>1</v>
      </c>
      <c r="F25" s="170"/>
      <c r="G25" s="143"/>
      <c r="H25" s="145"/>
      <c r="I25" s="145"/>
      <c r="J25" s="156"/>
      <c r="K25" s="145"/>
      <c r="L25" s="145"/>
      <c r="M25" s="204"/>
      <c r="N25" s="204"/>
      <c r="O25" s="204"/>
      <c r="P25" s="204"/>
      <c r="Q25" s="180"/>
    </row>
    <row r="26" spans="1:17" s="67" customFormat="1">
      <c r="A26" s="366">
        <f t="shared" si="0"/>
        <v>13</v>
      </c>
      <c r="B26" s="366" t="s">
        <v>149</v>
      </c>
      <c r="C26" s="436" t="s">
        <v>643</v>
      </c>
      <c r="D26" s="437" t="s">
        <v>87</v>
      </c>
      <c r="E26" s="438">
        <v>1</v>
      </c>
      <c r="F26" s="173"/>
      <c r="G26" s="174"/>
      <c r="H26" s="153"/>
      <c r="I26" s="153"/>
      <c r="J26" s="175"/>
      <c r="K26" s="153"/>
      <c r="L26" s="153"/>
      <c r="M26" s="208"/>
      <c r="N26" s="208"/>
      <c r="O26" s="208"/>
      <c r="P26" s="208"/>
      <c r="Q26" s="180"/>
    </row>
    <row r="27" spans="1:17" s="67" customFormat="1">
      <c r="A27" s="370"/>
      <c r="B27" s="370"/>
      <c r="C27" s="358" t="s">
        <v>644</v>
      </c>
      <c r="D27" s="446"/>
      <c r="E27" s="470"/>
      <c r="F27" s="221"/>
      <c r="G27" s="222"/>
      <c r="H27" s="135"/>
      <c r="I27" s="135"/>
      <c r="J27" s="223"/>
      <c r="K27" s="135"/>
      <c r="L27" s="135"/>
      <c r="M27" s="136"/>
      <c r="N27" s="136"/>
      <c r="O27" s="136"/>
      <c r="P27" s="136"/>
      <c r="Q27" s="180"/>
    </row>
    <row r="28" spans="1:17" s="67" customFormat="1" ht="27.75" customHeight="1">
      <c r="A28" s="950">
        <f>A26+1</f>
        <v>14</v>
      </c>
      <c r="B28" s="950" t="s">
        <v>149</v>
      </c>
      <c r="C28" s="951" t="s">
        <v>645</v>
      </c>
      <c r="D28" s="952" t="s">
        <v>87</v>
      </c>
      <c r="E28" s="953">
        <v>0</v>
      </c>
      <c r="F28" s="954"/>
      <c r="G28" s="955"/>
      <c r="H28" s="956"/>
      <c r="I28" s="956"/>
      <c r="J28" s="957"/>
      <c r="K28" s="956"/>
      <c r="L28" s="956"/>
      <c r="M28" s="958"/>
      <c r="N28" s="958"/>
      <c r="O28" s="958"/>
      <c r="P28" s="958"/>
      <c r="Q28" s="180"/>
    </row>
    <row r="29" spans="1:17" s="67" customFormat="1">
      <c r="A29" s="348">
        <f>A28+1</f>
        <v>15</v>
      </c>
      <c r="B29" s="348" t="s">
        <v>149</v>
      </c>
      <c r="C29" s="377" t="s">
        <v>646</v>
      </c>
      <c r="D29" s="434" t="s">
        <v>87</v>
      </c>
      <c r="E29" s="354">
        <v>1</v>
      </c>
      <c r="F29" s="170"/>
      <c r="G29" s="143"/>
      <c r="H29" s="145"/>
      <c r="I29" s="145"/>
      <c r="J29" s="156"/>
      <c r="K29" s="145"/>
      <c r="L29" s="145"/>
      <c r="M29" s="204"/>
      <c r="N29" s="204"/>
      <c r="O29" s="204"/>
      <c r="P29" s="204"/>
      <c r="Q29" s="180"/>
    </row>
    <row r="30" spans="1:17" s="67" customFormat="1">
      <c r="A30" s="366">
        <f>A29+1</f>
        <v>16</v>
      </c>
      <c r="B30" s="366" t="s">
        <v>149</v>
      </c>
      <c r="C30" s="436" t="s">
        <v>647</v>
      </c>
      <c r="D30" s="437" t="s">
        <v>80</v>
      </c>
      <c r="E30" s="438">
        <v>5</v>
      </c>
      <c r="F30" s="171"/>
      <c r="G30" s="161"/>
      <c r="H30" s="146"/>
      <c r="I30" s="146"/>
      <c r="J30" s="163"/>
      <c r="K30" s="146"/>
      <c r="L30" s="146"/>
      <c r="M30" s="205"/>
      <c r="N30" s="205"/>
      <c r="O30" s="205"/>
      <c r="P30" s="205"/>
      <c r="Q30" s="180"/>
    </row>
    <row r="31" spans="1:17">
      <c r="A31" s="890" t="s">
        <v>177</v>
      </c>
      <c r="B31" s="890"/>
      <c r="C31" s="890"/>
      <c r="D31" s="890"/>
      <c r="E31" s="890"/>
      <c r="F31" s="890"/>
      <c r="G31" s="890"/>
      <c r="H31" s="890"/>
      <c r="I31" s="890"/>
      <c r="J31" s="890"/>
      <c r="K31" s="890"/>
      <c r="L31" s="131">
        <f>SUM(L13:L30)</f>
        <v>0</v>
      </c>
      <c r="M31" s="131">
        <f>SUM(M13:M30)</f>
        <v>0</v>
      </c>
      <c r="N31" s="131">
        <f>SUM(N13:N30)</f>
        <v>0</v>
      </c>
      <c r="O31" s="131">
        <f>SUM(O13:O30)</f>
        <v>0</v>
      </c>
      <c r="P31" s="131">
        <f>SUM(P13:P30)</f>
        <v>0</v>
      </c>
    </row>
    <row r="32" spans="1:17" s="50" customFormat="1" collapsed="1">
      <c r="A32" s="885" t="s">
        <v>36</v>
      </c>
      <c r="B32" s="885"/>
      <c r="C32" s="1"/>
      <c r="D32" s="1"/>
      <c r="E32" s="98"/>
      <c r="F32" s="1"/>
      <c r="G32" s="1"/>
      <c r="H32" s="1"/>
      <c r="I32" s="1"/>
      <c r="J32" s="1"/>
      <c r="K32" s="1"/>
      <c r="L32" s="1"/>
      <c r="M32" s="1"/>
      <c r="N32" s="1"/>
      <c r="O32" s="1"/>
      <c r="P32" s="1"/>
      <c r="Q32" s="192"/>
    </row>
    <row r="33" spans="1:17" s="1" customFormat="1" ht="12.75" customHeight="1">
      <c r="A33" s="886" t="s">
        <v>56</v>
      </c>
      <c r="B33" s="886"/>
      <c r="C33" s="886"/>
      <c r="D33" s="886"/>
      <c r="E33" s="886"/>
      <c r="F33" s="886"/>
      <c r="G33" s="886"/>
      <c r="H33" s="886"/>
      <c r="I33" s="886"/>
      <c r="J33" s="886"/>
      <c r="K33" s="886"/>
      <c r="L33" s="886"/>
      <c r="M33" s="886"/>
      <c r="N33" s="886"/>
      <c r="O33" s="886"/>
      <c r="P33" s="886"/>
      <c r="Q33" s="177"/>
    </row>
    <row r="34" spans="1:17" s="1" customFormat="1" ht="12.75" customHeight="1">
      <c r="A34" s="910"/>
      <c r="B34" s="910"/>
      <c r="C34" s="50"/>
      <c r="D34" s="50"/>
      <c r="E34" s="103"/>
      <c r="F34" s="50"/>
      <c r="G34" s="50"/>
      <c r="H34" s="50"/>
      <c r="I34" s="50"/>
      <c r="J34" s="50"/>
      <c r="K34" s="50"/>
      <c r="L34" s="50"/>
      <c r="M34" s="50"/>
      <c r="N34" s="50"/>
      <c r="O34" s="50"/>
      <c r="P34" s="50"/>
      <c r="Q34" s="177"/>
    </row>
    <row r="35" spans="1:17" s="1" customFormat="1" ht="12.75" customHeight="1">
      <c r="A35" s="906" t="s">
        <v>7</v>
      </c>
      <c r="B35" s="906"/>
      <c r="C35" s="307"/>
      <c r="D35" s="50"/>
      <c r="E35" s="103"/>
      <c r="F35" s="50"/>
      <c r="G35" s="50"/>
      <c r="H35" s="50"/>
      <c r="I35" s="50"/>
      <c r="J35" s="50"/>
      <c r="K35" s="50"/>
      <c r="L35" s="307"/>
      <c r="M35" s="887"/>
      <c r="N35" s="887"/>
      <c r="O35" s="50"/>
      <c r="P35" s="50"/>
      <c r="Q35" s="177"/>
    </row>
    <row r="36" spans="1:17" s="1" customFormat="1" ht="12.75" customHeight="1">
      <c r="B36" s="58"/>
      <c r="E36" s="98"/>
      <c r="Q36" s="177"/>
    </row>
    <row r="37" spans="1:17" s="50" customFormat="1">
      <c r="E37" s="103"/>
      <c r="Q37" s="192"/>
    </row>
    <row r="38" spans="1:17" s="50" customFormat="1">
      <c r="C38" s="307"/>
      <c r="E38" s="103"/>
      <c r="L38" s="307"/>
      <c r="M38" s="887"/>
      <c r="N38" s="887"/>
      <c r="Q38" s="192"/>
    </row>
    <row r="39" spans="1:17" s="50" customFormat="1">
      <c r="C39" s="305"/>
      <c r="E39" s="103"/>
      <c r="L39" s="305"/>
      <c r="M39" s="878"/>
      <c r="N39" s="878"/>
      <c r="Q39" s="192"/>
    </row>
    <row r="40" spans="1:17" s="50" customFormat="1" collapsed="1">
      <c r="B40" s="87"/>
      <c r="E40" s="103"/>
      <c r="F40" s="87"/>
      <c r="G40" s="87"/>
      <c r="Q40" s="192"/>
    </row>
  </sheetData>
  <mergeCells count="27">
    <mergeCell ref="M38:N38"/>
    <mergeCell ref="M39:N39"/>
    <mergeCell ref="L10:P10"/>
    <mergeCell ref="A31:K31"/>
    <mergeCell ref="A32:B32"/>
    <mergeCell ref="A33:P33"/>
    <mergeCell ref="A34:B34"/>
    <mergeCell ref="A35:B35"/>
    <mergeCell ref="M35:N35"/>
    <mergeCell ref="A10:A11"/>
    <mergeCell ref="B10:B11"/>
    <mergeCell ref="C10:C11"/>
    <mergeCell ref="D10:D11"/>
    <mergeCell ref="E10:E11"/>
    <mergeCell ref="F10:K10"/>
    <mergeCell ref="A5:B5"/>
    <mergeCell ref="C5:P5"/>
    <mergeCell ref="A6:B6"/>
    <mergeCell ref="C6:P6"/>
    <mergeCell ref="A7:B7"/>
    <mergeCell ref="C7:P7"/>
    <mergeCell ref="A1:P1"/>
    <mergeCell ref="A2:P2"/>
    <mergeCell ref="A3:B3"/>
    <mergeCell ref="C3:P3"/>
    <mergeCell ref="A4:B4"/>
    <mergeCell ref="C4:P4"/>
  </mergeCells>
  <conditionalFormatting sqref="C27">
    <cfRule type="expression" priority="34" stopIfTrue="1">
      <formula>#REF!</formula>
    </cfRule>
  </conditionalFormatting>
  <conditionalFormatting sqref="C27">
    <cfRule type="expression" priority="33" stopIfTrue="1">
      <formula>#REF!</formula>
    </cfRule>
  </conditionalFormatting>
  <conditionalFormatting sqref="C29">
    <cfRule type="expression" priority="28" stopIfTrue="1">
      <formula>#REF!</formula>
    </cfRule>
  </conditionalFormatting>
  <conditionalFormatting sqref="C29">
    <cfRule type="expression" priority="27" stopIfTrue="1">
      <formula>#REF!</formula>
    </cfRule>
  </conditionalFormatting>
  <conditionalFormatting sqref="C28">
    <cfRule type="expression" priority="32" stopIfTrue="1">
      <formula>#REF!</formula>
    </cfRule>
  </conditionalFormatting>
  <conditionalFormatting sqref="C28">
    <cfRule type="expression" priority="31" stopIfTrue="1">
      <formula>#REF!</formula>
    </cfRule>
  </conditionalFormatting>
  <conditionalFormatting sqref="C30">
    <cfRule type="expression" priority="30" stopIfTrue="1">
      <formula>#REF!</formula>
    </cfRule>
  </conditionalFormatting>
  <conditionalFormatting sqref="C30">
    <cfRule type="expression" priority="29" stopIfTrue="1">
      <formula>#REF!</formula>
    </cfRule>
  </conditionalFormatting>
  <conditionalFormatting sqref="C13:C14">
    <cfRule type="expression" priority="26" stopIfTrue="1">
      <formula>#REF!</formula>
    </cfRule>
  </conditionalFormatting>
  <conditionalFormatting sqref="C13:C14">
    <cfRule type="expression" priority="25" stopIfTrue="1">
      <formula>#REF!</formula>
    </cfRule>
  </conditionalFormatting>
  <conditionalFormatting sqref="C15">
    <cfRule type="expression" priority="24" stopIfTrue="1">
      <formula>#REF!</formula>
    </cfRule>
  </conditionalFormatting>
  <conditionalFormatting sqref="C15">
    <cfRule type="expression" priority="23" stopIfTrue="1">
      <formula>#REF!</formula>
    </cfRule>
  </conditionalFormatting>
  <conditionalFormatting sqref="C16">
    <cfRule type="expression" priority="22" stopIfTrue="1">
      <formula>#REF!</formula>
    </cfRule>
  </conditionalFormatting>
  <conditionalFormatting sqref="C16">
    <cfRule type="expression" priority="21" stopIfTrue="1">
      <formula>#REF!</formula>
    </cfRule>
  </conditionalFormatting>
  <conditionalFormatting sqref="C17">
    <cfRule type="expression" priority="20" stopIfTrue="1">
      <formula>#REF!</formula>
    </cfRule>
  </conditionalFormatting>
  <conditionalFormatting sqref="C17">
    <cfRule type="expression" priority="19" stopIfTrue="1">
      <formula>#REF!</formula>
    </cfRule>
  </conditionalFormatting>
  <conditionalFormatting sqref="C18">
    <cfRule type="expression" priority="18" stopIfTrue="1">
      <formula>#REF!</formula>
    </cfRule>
  </conditionalFormatting>
  <conditionalFormatting sqref="C18">
    <cfRule type="expression" priority="17" stopIfTrue="1">
      <formula>#REF!</formula>
    </cfRule>
  </conditionalFormatting>
  <conditionalFormatting sqref="C19">
    <cfRule type="expression" priority="16" stopIfTrue="1">
      <formula>#REF!</formula>
    </cfRule>
  </conditionalFormatting>
  <conditionalFormatting sqref="C19">
    <cfRule type="expression" priority="15" stopIfTrue="1">
      <formula>#REF!</formula>
    </cfRule>
  </conditionalFormatting>
  <conditionalFormatting sqref="C20">
    <cfRule type="expression" priority="14" stopIfTrue="1">
      <formula>#REF!</formula>
    </cfRule>
  </conditionalFormatting>
  <conditionalFormatting sqref="C20">
    <cfRule type="expression" priority="13" stopIfTrue="1">
      <formula>#REF!</formula>
    </cfRule>
  </conditionalFormatting>
  <conditionalFormatting sqref="C21">
    <cfRule type="expression" priority="12" stopIfTrue="1">
      <formula>#REF!</formula>
    </cfRule>
  </conditionalFormatting>
  <conditionalFormatting sqref="C21">
    <cfRule type="expression" priority="11" stopIfTrue="1">
      <formula>#REF!</formula>
    </cfRule>
  </conditionalFormatting>
  <conditionalFormatting sqref="C22">
    <cfRule type="expression" priority="10" stopIfTrue="1">
      <formula>#REF!</formula>
    </cfRule>
  </conditionalFormatting>
  <conditionalFormatting sqref="C22">
    <cfRule type="expression" priority="9" stopIfTrue="1">
      <formula>#REF!</formula>
    </cfRule>
  </conditionalFormatting>
  <conditionalFormatting sqref="C23">
    <cfRule type="expression" priority="8" stopIfTrue="1">
      <formula>#REF!</formula>
    </cfRule>
  </conditionalFormatting>
  <conditionalFormatting sqref="C23">
    <cfRule type="expression" priority="7" stopIfTrue="1">
      <formula>#REF!</formula>
    </cfRule>
  </conditionalFormatting>
  <conditionalFormatting sqref="C24">
    <cfRule type="expression" priority="6" stopIfTrue="1">
      <formula>#REF!</formula>
    </cfRule>
  </conditionalFormatting>
  <conditionalFormatting sqref="C24">
    <cfRule type="expression" priority="5" stopIfTrue="1">
      <formula>#REF!</formula>
    </cfRule>
  </conditionalFormatting>
  <conditionalFormatting sqref="C25">
    <cfRule type="expression" priority="4" stopIfTrue="1">
      <formula>#REF!</formula>
    </cfRule>
  </conditionalFormatting>
  <conditionalFormatting sqref="C25">
    <cfRule type="expression" priority="3" stopIfTrue="1">
      <formula>#REF!</formula>
    </cfRule>
  </conditionalFormatting>
  <conditionalFormatting sqref="C26">
    <cfRule type="expression" priority="2" stopIfTrue="1">
      <formula>#REF!</formula>
    </cfRule>
  </conditionalFormatting>
  <conditionalFormatting sqref="C26">
    <cfRule type="expression" priority="1" stopIfTrue="1">
      <formula>#REF!</formula>
    </cfRule>
  </conditionalFormatting>
  <pageMargins left="0.25" right="0.25" top="0.75" bottom="0.75" header="0.3" footer="0.3"/>
  <pageSetup paperSize="9" scale="7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Q57"/>
  <sheetViews>
    <sheetView zoomScale="75" zoomScaleNormal="75" zoomScaleSheetLayoutView="75" workbookViewId="0">
      <selection activeCell="E12" sqref="E12"/>
    </sheetView>
  </sheetViews>
  <sheetFormatPr defaultColWidth="9.140625" defaultRowHeight="15"/>
  <cols>
    <col min="1" max="1" width="8.85546875" style="60" customWidth="1"/>
    <col min="2" max="2" width="11.7109375" style="60" customWidth="1"/>
    <col min="3" max="3" width="45.5703125" style="88" customWidth="1"/>
    <col min="4" max="4" width="8.7109375" style="60" customWidth="1"/>
    <col min="5" max="5" width="8.7109375" style="102" customWidth="1"/>
    <col min="6" max="11" width="8.7109375" style="60" customWidth="1"/>
    <col min="12" max="16" width="12.7109375" style="60" customWidth="1"/>
    <col min="17" max="17" width="9.140625" style="186"/>
    <col min="18" max="16384" width="9.140625" style="60"/>
  </cols>
  <sheetData>
    <row r="1" spans="1:17" s="59" customFormat="1" ht="15.75">
      <c r="A1" s="909" t="s">
        <v>648</v>
      </c>
      <c r="B1" s="909"/>
      <c r="C1" s="909"/>
      <c r="D1" s="909"/>
      <c r="E1" s="909"/>
      <c r="F1" s="909"/>
      <c r="G1" s="909"/>
      <c r="H1" s="909"/>
      <c r="I1" s="909"/>
      <c r="J1" s="909"/>
      <c r="K1" s="909"/>
      <c r="L1" s="909"/>
      <c r="M1" s="909"/>
      <c r="N1" s="909"/>
      <c r="O1" s="909"/>
      <c r="P1" s="909"/>
      <c r="Q1" s="191"/>
    </row>
    <row r="2" spans="1:17" s="59" customFormat="1" ht="15.75">
      <c r="A2" s="899" t="s">
        <v>148</v>
      </c>
      <c r="B2" s="899"/>
      <c r="C2" s="899"/>
      <c r="D2" s="899"/>
      <c r="E2" s="899"/>
      <c r="F2" s="899"/>
      <c r="G2" s="899"/>
      <c r="H2" s="899"/>
      <c r="I2" s="899"/>
      <c r="J2" s="899"/>
      <c r="K2" s="899"/>
      <c r="L2" s="899"/>
      <c r="M2" s="899"/>
      <c r="N2" s="899"/>
      <c r="O2" s="899"/>
      <c r="P2" s="899"/>
      <c r="Q2" s="191"/>
    </row>
    <row r="3" spans="1:17" s="59" customFormat="1" ht="15.75">
      <c r="A3" s="876" t="s">
        <v>10</v>
      </c>
      <c r="B3" s="876"/>
      <c r="C3" s="859" t="s">
        <v>117</v>
      </c>
      <c r="D3" s="859"/>
      <c r="E3" s="859"/>
      <c r="F3" s="859"/>
      <c r="G3" s="859"/>
      <c r="H3" s="859"/>
      <c r="I3" s="859"/>
      <c r="J3" s="859"/>
      <c r="K3" s="859"/>
      <c r="L3" s="859"/>
      <c r="M3" s="859"/>
      <c r="N3" s="859"/>
      <c r="O3" s="859"/>
      <c r="P3" s="859"/>
      <c r="Q3" s="191"/>
    </row>
    <row r="4" spans="1:17" s="59" customFormat="1" ht="15.75">
      <c r="A4" s="876" t="s">
        <v>11</v>
      </c>
      <c r="B4" s="876"/>
      <c r="C4" s="859" t="s">
        <v>118</v>
      </c>
      <c r="D4" s="859"/>
      <c r="E4" s="859"/>
      <c r="F4" s="859"/>
      <c r="G4" s="859"/>
      <c r="H4" s="859"/>
      <c r="I4" s="859"/>
      <c r="J4" s="859"/>
      <c r="K4" s="859"/>
      <c r="L4" s="859"/>
      <c r="M4" s="859"/>
      <c r="N4" s="859"/>
      <c r="O4" s="859"/>
      <c r="P4" s="859"/>
      <c r="Q4" s="191"/>
    </row>
    <row r="5" spans="1:17" s="59" customFormat="1" ht="15.75">
      <c r="A5" s="876" t="s">
        <v>12</v>
      </c>
      <c r="B5" s="876"/>
      <c r="C5" s="859" t="s">
        <v>50</v>
      </c>
      <c r="D5" s="859"/>
      <c r="E5" s="859"/>
      <c r="F5" s="859"/>
      <c r="G5" s="859"/>
      <c r="H5" s="859"/>
      <c r="I5" s="859"/>
      <c r="J5" s="859"/>
      <c r="K5" s="859"/>
      <c r="L5" s="859"/>
      <c r="M5" s="859"/>
      <c r="N5" s="859"/>
      <c r="O5" s="859"/>
      <c r="P5" s="859"/>
      <c r="Q5" s="191"/>
    </row>
    <row r="6" spans="1:17" s="59" customFormat="1" ht="15.75">
      <c r="A6" s="876" t="s">
        <v>30</v>
      </c>
      <c r="B6" s="876"/>
      <c r="C6" s="874"/>
      <c r="D6" s="874"/>
      <c r="E6" s="874"/>
      <c r="F6" s="874"/>
      <c r="G6" s="874"/>
      <c r="H6" s="874"/>
      <c r="I6" s="874"/>
      <c r="J6" s="874"/>
      <c r="K6" s="874"/>
      <c r="L6" s="874"/>
      <c r="M6" s="874"/>
      <c r="N6" s="874"/>
      <c r="O6" s="874"/>
      <c r="P6" s="874"/>
      <c r="Q6" s="191"/>
    </row>
    <row r="7" spans="1:17" s="59" customFormat="1" ht="15.75">
      <c r="A7" s="876" t="s">
        <v>54</v>
      </c>
      <c r="B7" s="876"/>
      <c r="C7" s="873"/>
      <c r="D7" s="873"/>
      <c r="E7" s="873"/>
      <c r="F7" s="873"/>
      <c r="G7" s="873"/>
      <c r="H7" s="873"/>
      <c r="I7" s="873"/>
      <c r="J7" s="873"/>
      <c r="K7" s="873"/>
      <c r="L7" s="873"/>
      <c r="M7" s="873"/>
      <c r="N7" s="873"/>
      <c r="O7" s="873"/>
      <c r="P7" s="873"/>
      <c r="Q7" s="191"/>
    </row>
    <row r="8" spans="1:17" s="59" customFormat="1" ht="15.75">
      <c r="E8" s="107"/>
      <c r="J8" s="73"/>
      <c r="K8" s="73"/>
      <c r="L8" s="66"/>
      <c r="M8" s="66"/>
      <c r="N8" s="74"/>
      <c r="O8" s="63" t="s">
        <v>52</v>
      </c>
      <c r="P8" s="75">
        <f>P48</f>
        <v>0</v>
      </c>
      <c r="Q8" s="191"/>
    </row>
    <row r="9" spans="1:17">
      <c r="C9" s="60"/>
    </row>
    <row r="10" spans="1:17"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7"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7">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7" s="67" customFormat="1" ht="24">
      <c r="A13" s="370"/>
      <c r="B13" s="370"/>
      <c r="C13" s="358" t="s">
        <v>649</v>
      </c>
      <c r="D13" s="446"/>
      <c r="E13" s="470"/>
      <c r="F13" s="221"/>
      <c r="G13" s="222"/>
      <c r="H13" s="135"/>
      <c r="I13" s="135"/>
      <c r="J13" s="223"/>
      <c r="K13" s="135"/>
      <c r="L13" s="135"/>
      <c r="M13" s="136"/>
      <c r="N13" s="136"/>
      <c r="O13" s="136"/>
      <c r="P13" s="136"/>
      <c r="Q13" s="180"/>
    </row>
    <row r="14" spans="1:17" s="67" customFormat="1" ht="48">
      <c r="A14" s="344">
        <v>1</v>
      </c>
      <c r="B14" s="344" t="s">
        <v>149</v>
      </c>
      <c r="C14" s="517" t="s">
        <v>650</v>
      </c>
      <c r="D14" s="518" t="s">
        <v>93</v>
      </c>
      <c r="E14" s="528">
        <v>1</v>
      </c>
      <c r="F14" s="173"/>
      <c r="G14" s="174"/>
      <c r="H14" s="153"/>
      <c r="I14" s="153"/>
      <c r="J14" s="175"/>
      <c r="K14" s="153"/>
      <c r="L14" s="153"/>
      <c r="M14" s="208"/>
      <c r="N14" s="208"/>
      <c r="O14" s="208"/>
      <c r="P14" s="208"/>
      <c r="Q14" s="180"/>
    </row>
    <row r="15" spans="1:17" s="67" customFormat="1">
      <c r="A15" s="348">
        <f>A14+1</f>
        <v>2</v>
      </c>
      <c r="B15" s="348" t="s">
        <v>149</v>
      </c>
      <c r="C15" s="519" t="s">
        <v>651</v>
      </c>
      <c r="D15" s="520" t="s">
        <v>93</v>
      </c>
      <c r="E15" s="529">
        <v>1</v>
      </c>
      <c r="F15" s="170"/>
      <c r="G15" s="143"/>
      <c r="H15" s="145"/>
      <c r="I15" s="145"/>
      <c r="J15" s="156"/>
      <c r="K15" s="145"/>
      <c r="L15" s="145"/>
      <c r="M15" s="204"/>
      <c r="N15" s="204"/>
      <c r="O15" s="204"/>
      <c r="P15" s="204"/>
      <c r="Q15" s="180"/>
    </row>
    <row r="16" spans="1:17" s="67" customFormat="1" ht="24">
      <c r="A16" s="348">
        <f t="shared" ref="A16:A47" si="0">A15+1</f>
        <v>3</v>
      </c>
      <c r="B16" s="348" t="s">
        <v>149</v>
      </c>
      <c r="C16" s="519" t="s">
        <v>652</v>
      </c>
      <c r="D16" s="521" t="s">
        <v>93</v>
      </c>
      <c r="E16" s="529">
        <v>1</v>
      </c>
      <c r="F16" s="170"/>
      <c r="G16" s="143"/>
      <c r="H16" s="145"/>
      <c r="I16" s="145"/>
      <c r="J16" s="156"/>
      <c r="K16" s="145"/>
      <c r="L16" s="145"/>
      <c r="M16" s="204"/>
      <c r="N16" s="204"/>
      <c r="O16" s="204"/>
      <c r="P16" s="204"/>
      <c r="Q16" s="180"/>
    </row>
    <row r="17" spans="1:17" s="67" customFormat="1">
      <c r="A17" s="348">
        <f t="shared" si="0"/>
        <v>4</v>
      </c>
      <c r="B17" s="348" t="s">
        <v>149</v>
      </c>
      <c r="C17" s="519" t="s">
        <v>653</v>
      </c>
      <c r="D17" s="520" t="s">
        <v>93</v>
      </c>
      <c r="E17" s="529">
        <v>1</v>
      </c>
      <c r="F17" s="170"/>
      <c r="G17" s="143"/>
      <c r="H17" s="145"/>
      <c r="I17" s="145"/>
      <c r="J17" s="156"/>
      <c r="K17" s="145"/>
      <c r="L17" s="145"/>
      <c r="M17" s="204"/>
      <c r="N17" s="204"/>
      <c r="O17" s="204"/>
      <c r="P17" s="204"/>
      <c r="Q17" s="180"/>
    </row>
    <row r="18" spans="1:17" s="67" customFormat="1">
      <c r="A18" s="348">
        <f t="shared" si="0"/>
        <v>5</v>
      </c>
      <c r="B18" s="348" t="s">
        <v>149</v>
      </c>
      <c r="C18" s="519" t="s">
        <v>654</v>
      </c>
      <c r="D18" s="520" t="s">
        <v>93</v>
      </c>
      <c r="E18" s="529">
        <v>1</v>
      </c>
      <c r="F18" s="170"/>
      <c r="G18" s="143"/>
      <c r="H18" s="145"/>
      <c r="I18" s="145"/>
      <c r="J18" s="156"/>
      <c r="K18" s="145"/>
      <c r="L18" s="145"/>
      <c r="M18" s="204"/>
      <c r="N18" s="204"/>
      <c r="O18" s="204"/>
      <c r="P18" s="204"/>
      <c r="Q18" s="180"/>
    </row>
    <row r="19" spans="1:17" s="67" customFormat="1" ht="24">
      <c r="A19" s="348">
        <f t="shared" si="0"/>
        <v>6</v>
      </c>
      <c r="B19" s="348" t="s">
        <v>149</v>
      </c>
      <c r="C19" s="519" t="s">
        <v>655</v>
      </c>
      <c r="D19" s="520" t="s">
        <v>85</v>
      </c>
      <c r="E19" s="529">
        <v>520</v>
      </c>
      <c r="F19" s="170"/>
      <c r="G19" s="143"/>
      <c r="H19" s="145"/>
      <c r="I19" s="145"/>
      <c r="J19" s="156"/>
      <c r="K19" s="145"/>
      <c r="L19" s="145"/>
      <c r="M19" s="204"/>
      <c r="N19" s="204"/>
      <c r="O19" s="204"/>
      <c r="P19" s="204"/>
      <c r="Q19" s="180"/>
    </row>
    <row r="20" spans="1:17" s="67" customFormat="1" ht="24">
      <c r="A20" s="348">
        <f t="shared" si="0"/>
        <v>7</v>
      </c>
      <c r="B20" s="348" t="s">
        <v>149</v>
      </c>
      <c r="C20" s="519" t="s">
        <v>656</v>
      </c>
      <c r="D20" s="520" t="s">
        <v>85</v>
      </c>
      <c r="E20" s="529">
        <v>75</v>
      </c>
      <c r="F20" s="170"/>
      <c r="G20" s="143"/>
      <c r="H20" s="145"/>
      <c r="I20" s="145"/>
      <c r="J20" s="156"/>
      <c r="K20" s="145"/>
      <c r="L20" s="145"/>
      <c r="M20" s="204"/>
      <c r="N20" s="204"/>
      <c r="O20" s="204"/>
      <c r="P20" s="204"/>
      <c r="Q20" s="180"/>
    </row>
    <row r="21" spans="1:17" s="67" customFormat="1" ht="36">
      <c r="A21" s="348">
        <f t="shared" si="0"/>
        <v>8</v>
      </c>
      <c r="B21" s="348" t="s">
        <v>149</v>
      </c>
      <c r="C21" s="519" t="s">
        <v>657</v>
      </c>
      <c r="D21" s="520" t="s">
        <v>93</v>
      </c>
      <c r="E21" s="529">
        <v>1</v>
      </c>
      <c r="F21" s="170"/>
      <c r="G21" s="143"/>
      <c r="H21" s="145"/>
      <c r="I21" s="145"/>
      <c r="J21" s="156"/>
      <c r="K21" s="145"/>
      <c r="L21" s="145"/>
      <c r="M21" s="204"/>
      <c r="N21" s="204"/>
      <c r="O21" s="204"/>
      <c r="P21" s="204"/>
      <c r="Q21" s="180"/>
    </row>
    <row r="22" spans="1:17" s="67" customFormat="1" ht="36">
      <c r="A22" s="348">
        <f t="shared" si="0"/>
        <v>9</v>
      </c>
      <c r="B22" s="348" t="s">
        <v>149</v>
      </c>
      <c r="C22" s="519" t="s">
        <v>658</v>
      </c>
      <c r="D22" s="520" t="s">
        <v>93</v>
      </c>
      <c r="E22" s="529">
        <v>1</v>
      </c>
      <c r="F22" s="170"/>
      <c r="G22" s="143"/>
      <c r="H22" s="145"/>
      <c r="I22" s="145"/>
      <c r="J22" s="156"/>
      <c r="K22" s="145"/>
      <c r="L22" s="145"/>
      <c r="M22" s="204"/>
      <c r="N22" s="204"/>
      <c r="O22" s="204"/>
      <c r="P22" s="204"/>
      <c r="Q22" s="180"/>
    </row>
    <row r="23" spans="1:17" s="67" customFormat="1" ht="48">
      <c r="A23" s="348">
        <f t="shared" si="0"/>
        <v>10</v>
      </c>
      <c r="B23" s="348" t="s">
        <v>149</v>
      </c>
      <c r="C23" s="519" t="s">
        <v>659</v>
      </c>
      <c r="D23" s="520" t="s">
        <v>93</v>
      </c>
      <c r="E23" s="529">
        <v>1</v>
      </c>
      <c r="F23" s="170"/>
      <c r="G23" s="143"/>
      <c r="H23" s="145"/>
      <c r="I23" s="145"/>
      <c r="J23" s="156"/>
      <c r="K23" s="145"/>
      <c r="L23" s="145"/>
      <c r="M23" s="204"/>
      <c r="N23" s="204"/>
      <c r="O23" s="204"/>
      <c r="P23" s="204"/>
      <c r="Q23" s="180"/>
    </row>
    <row r="24" spans="1:17" s="67" customFormat="1" ht="36">
      <c r="A24" s="348">
        <f t="shared" si="0"/>
        <v>11</v>
      </c>
      <c r="B24" s="348" t="s">
        <v>149</v>
      </c>
      <c r="C24" s="519" t="s">
        <v>660</v>
      </c>
      <c r="D24" s="520" t="s">
        <v>93</v>
      </c>
      <c r="E24" s="529">
        <v>1</v>
      </c>
      <c r="F24" s="170"/>
      <c r="G24" s="143"/>
      <c r="H24" s="145"/>
      <c r="I24" s="145"/>
      <c r="J24" s="156"/>
      <c r="K24" s="145"/>
      <c r="L24" s="145"/>
      <c r="M24" s="204"/>
      <c r="N24" s="204"/>
      <c r="O24" s="204"/>
      <c r="P24" s="204"/>
      <c r="Q24" s="180"/>
    </row>
    <row r="25" spans="1:17" s="67" customFormat="1" ht="24">
      <c r="A25" s="348">
        <f t="shared" si="0"/>
        <v>12</v>
      </c>
      <c r="B25" s="348" t="s">
        <v>149</v>
      </c>
      <c r="C25" s="519" t="s">
        <v>661</v>
      </c>
      <c r="D25" s="520" t="s">
        <v>93</v>
      </c>
      <c r="E25" s="529">
        <v>1</v>
      </c>
      <c r="F25" s="170"/>
      <c r="G25" s="143"/>
      <c r="H25" s="145"/>
      <c r="I25" s="145"/>
      <c r="J25" s="156"/>
      <c r="K25" s="145"/>
      <c r="L25" s="145"/>
      <c r="M25" s="204"/>
      <c r="N25" s="204"/>
      <c r="O25" s="204"/>
      <c r="P25" s="204"/>
      <c r="Q25" s="180"/>
    </row>
    <row r="26" spans="1:17" s="67" customFormat="1" ht="24">
      <c r="A26" s="348">
        <f t="shared" si="0"/>
        <v>13</v>
      </c>
      <c r="B26" s="348" t="s">
        <v>149</v>
      </c>
      <c r="C26" s="519" t="s">
        <v>662</v>
      </c>
      <c r="D26" s="520" t="s">
        <v>93</v>
      </c>
      <c r="E26" s="529">
        <v>1</v>
      </c>
      <c r="F26" s="170"/>
      <c r="G26" s="143"/>
      <c r="H26" s="145"/>
      <c r="I26" s="145"/>
      <c r="J26" s="156"/>
      <c r="K26" s="145"/>
      <c r="L26" s="145"/>
      <c r="M26" s="204"/>
      <c r="N26" s="204"/>
      <c r="O26" s="204"/>
      <c r="P26" s="204"/>
      <c r="Q26" s="180"/>
    </row>
    <row r="27" spans="1:17" s="67" customFormat="1">
      <c r="A27" s="373">
        <f t="shared" si="0"/>
        <v>14</v>
      </c>
      <c r="B27" s="373" t="s">
        <v>149</v>
      </c>
      <c r="C27" s="522" t="s">
        <v>663</v>
      </c>
      <c r="D27" s="518" t="s">
        <v>93</v>
      </c>
      <c r="E27" s="528">
        <v>1</v>
      </c>
      <c r="F27" s="173"/>
      <c r="G27" s="174"/>
      <c r="H27" s="153"/>
      <c r="I27" s="153"/>
      <c r="J27" s="175"/>
      <c r="K27" s="153"/>
      <c r="L27" s="153"/>
      <c r="M27" s="208"/>
      <c r="N27" s="208"/>
      <c r="O27" s="208"/>
      <c r="P27" s="208"/>
      <c r="Q27" s="180"/>
    </row>
    <row r="28" spans="1:17" s="67" customFormat="1">
      <c r="A28" s="370"/>
      <c r="B28" s="370"/>
      <c r="C28" s="371" t="s">
        <v>664</v>
      </c>
      <c r="D28" s="431"/>
      <c r="E28" s="439"/>
      <c r="F28" s="221"/>
      <c r="G28" s="222"/>
      <c r="H28" s="135"/>
      <c r="I28" s="135"/>
      <c r="J28" s="223"/>
      <c r="K28" s="135"/>
      <c r="L28" s="135"/>
      <c r="M28" s="136"/>
      <c r="N28" s="136"/>
      <c r="O28" s="136"/>
      <c r="P28" s="136"/>
      <c r="Q28" s="180"/>
    </row>
    <row r="29" spans="1:17" s="67" customFormat="1" ht="24">
      <c r="A29" s="373">
        <f>A27+1</f>
        <v>15</v>
      </c>
      <c r="B29" s="373" t="s">
        <v>149</v>
      </c>
      <c r="C29" s="522" t="s">
        <v>665</v>
      </c>
      <c r="D29" s="518" t="s">
        <v>93</v>
      </c>
      <c r="E29" s="528">
        <v>2</v>
      </c>
      <c r="F29" s="171"/>
      <c r="G29" s="161"/>
      <c r="H29" s="146"/>
      <c r="I29" s="146"/>
      <c r="J29" s="163"/>
      <c r="K29" s="146"/>
      <c r="L29" s="146"/>
      <c r="M29" s="205"/>
      <c r="N29" s="205"/>
      <c r="O29" s="205"/>
      <c r="P29" s="205"/>
      <c r="Q29" s="180"/>
    </row>
    <row r="30" spans="1:17" s="67" customFormat="1" ht="24">
      <c r="A30" s="348">
        <f t="shared" si="0"/>
        <v>16</v>
      </c>
      <c r="B30" s="348" t="s">
        <v>149</v>
      </c>
      <c r="C30" s="519" t="s">
        <v>666</v>
      </c>
      <c r="D30" s="520" t="s">
        <v>93</v>
      </c>
      <c r="E30" s="530">
        <v>1</v>
      </c>
      <c r="F30" s="171"/>
      <c r="G30" s="161"/>
      <c r="H30" s="146"/>
      <c r="I30" s="146"/>
      <c r="J30" s="163"/>
      <c r="K30" s="146"/>
      <c r="L30" s="146"/>
      <c r="M30" s="205"/>
      <c r="N30" s="205"/>
      <c r="O30" s="205"/>
      <c r="P30" s="205"/>
      <c r="Q30" s="180"/>
    </row>
    <row r="31" spans="1:17" s="67" customFormat="1" ht="24">
      <c r="A31" s="348">
        <f t="shared" si="0"/>
        <v>17</v>
      </c>
      <c r="B31" s="348" t="s">
        <v>149</v>
      </c>
      <c r="C31" s="519" t="s">
        <v>667</v>
      </c>
      <c r="D31" s="520" t="s">
        <v>93</v>
      </c>
      <c r="E31" s="530">
        <v>1</v>
      </c>
      <c r="F31" s="171"/>
      <c r="G31" s="161"/>
      <c r="H31" s="146"/>
      <c r="I31" s="146"/>
      <c r="J31" s="163"/>
      <c r="K31" s="146"/>
      <c r="L31" s="146"/>
      <c r="M31" s="205"/>
      <c r="N31" s="205"/>
      <c r="O31" s="205"/>
      <c r="P31" s="205"/>
      <c r="Q31" s="180"/>
    </row>
    <row r="32" spans="1:17" s="67" customFormat="1">
      <c r="A32" s="366">
        <f t="shared" si="0"/>
        <v>18</v>
      </c>
      <c r="B32" s="366" t="s">
        <v>149</v>
      </c>
      <c r="C32" s="523" t="s">
        <v>668</v>
      </c>
      <c r="D32" s="524" t="s">
        <v>93</v>
      </c>
      <c r="E32" s="531">
        <v>1</v>
      </c>
      <c r="F32" s="173"/>
      <c r="G32" s="174"/>
      <c r="H32" s="153"/>
      <c r="I32" s="153"/>
      <c r="J32" s="175"/>
      <c r="K32" s="153"/>
      <c r="L32" s="153"/>
      <c r="M32" s="208"/>
      <c r="N32" s="208"/>
      <c r="O32" s="208"/>
      <c r="P32" s="208"/>
      <c r="Q32" s="180"/>
    </row>
    <row r="33" spans="1:17" s="67" customFormat="1" ht="24">
      <c r="A33" s="370"/>
      <c r="B33" s="370"/>
      <c r="C33" s="371" t="s">
        <v>669</v>
      </c>
      <c r="D33" s="431"/>
      <c r="E33" s="439"/>
      <c r="F33" s="221"/>
      <c r="G33" s="222"/>
      <c r="H33" s="135"/>
      <c r="I33" s="135"/>
      <c r="J33" s="223"/>
      <c r="K33" s="135"/>
      <c r="L33" s="135"/>
      <c r="M33" s="136"/>
      <c r="N33" s="136"/>
      <c r="O33" s="136"/>
      <c r="P33" s="136"/>
      <c r="Q33" s="180"/>
    </row>
    <row r="34" spans="1:17" s="67" customFormat="1" ht="24">
      <c r="A34" s="344">
        <f>A32+1</f>
        <v>19</v>
      </c>
      <c r="B34" s="344" t="s">
        <v>149</v>
      </c>
      <c r="C34" s="517" t="s">
        <v>670</v>
      </c>
      <c r="D34" s="525" t="s">
        <v>93</v>
      </c>
      <c r="E34" s="532">
        <v>1</v>
      </c>
      <c r="F34" s="171"/>
      <c r="G34" s="161"/>
      <c r="H34" s="146"/>
      <c r="I34" s="146"/>
      <c r="J34" s="163"/>
      <c r="K34" s="146"/>
      <c r="L34" s="146"/>
      <c r="M34" s="205"/>
      <c r="N34" s="205"/>
      <c r="O34" s="205"/>
      <c r="P34" s="205"/>
      <c r="Q34" s="180"/>
    </row>
    <row r="35" spans="1:17" s="67" customFormat="1" ht="24">
      <c r="A35" s="348">
        <f t="shared" si="0"/>
        <v>20</v>
      </c>
      <c r="B35" s="348" t="s">
        <v>149</v>
      </c>
      <c r="C35" s="519" t="s">
        <v>671</v>
      </c>
      <c r="D35" s="520" t="s">
        <v>93</v>
      </c>
      <c r="E35" s="530">
        <v>1</v>
      </c>
      <c r="F35" s="171"/>
      <c r="G35" s="161"/>
      <c r="H35" s="146"/>
      <c r="I35" s="146"/>
      <c r="J35" s="163"/>
      <c r="K35" s="146"/>
      <c r="L35" s="146"/>
      <c r="M35" s="205"/>
      <c r="N35" s="205"/>
      <c r="O35" s="205"/>
      <c r="P35" s="205"/>
      <c r="Q35" s="180"/>
    </row>
    <row r="36" spans="1:17" s="67" customFormat="1" ht="24">
      <c r="A36" s="348">
        <f t="shared" si="0"/>
        <v>21</v>
      </c>
      <c r="B36" s="348" t="s">
        <v>149</v>
      </c>
      <c r="C36" s="519" t="s">
        <v>672</v>
      </c>
      <c r="D36" s="520" t="s">
        <v>93</v>
      </c>
      <c r="E36" s="530">
        <v>1</v>
      </c>
      <c r="F36" s="171"/>
      <c r="G36" s="161"/>
      <c r="H36" s="146"/>
      <c r="I36" s="146"/>
      <c r="J36" s="163"/>
      <c r="K36" s="146"/>
      <c r="L36" s="146"/>
      <c r="M36" s="205"/>
      <c r="N36" s="205"/>
      <c r="O36" s="205"/>
      <c r="P36" s="205"/>
      <c r="Q36" s="180"/>
    </row>
    <row r="37" spans="1:17" s="67" customFormat="1">
      <c r="A37" s="348">
        <f t="shared" si="0"/>
        <v>22</v>
      </c>
      <c r="B37" s="348" t="s">
        <v>149</v>
      </c>
      <c r="C37" s="519" t="s">
        <v>673</v>
      </c>
      <c r="D37" s="520" t="s">
        <v>93</v>
      </c>
      <c r="E37" s="530">
        <v>1</v>
      </c>
      <c r="F37" s="171"/>
      <c r="G37" s="161"/>
      <c r="H37" s="146"/>
      <c r="I37" s="146"/>
      <c r="J37" s="163"/>
      <c r="K37" s="146"/>
      <c r="L37" s="146"/>
      <c r="M37" s="205"/>
      <c r="N37" s="205"/>
      <c r="O37" s="205"/>
      <c r="P37" s="205"/>
      <c r="Q37" s="180"/>
    </row>
    <row r="38" spans="1:17" s="67" customFormat="1">
      <c r="A38" s="348">
        <f t="shared" si="0"/>
        <v>23</v>
      </c>
      <c r="B38" s="348" t="s">
        <v>149</v>
      </c>
      <c r="C38" s="377"/>
      <c r="D38" s="434"/>
      <c r="E38" s="354"/>
      <c r="F38" s="171"/>
      <c r="G38" s="161"/>
      <c r="H38" s="146"/>
      <c r="I38" s="146"/>
      <c r="J38" s="163"/>
      <c r="K38" s="146"/>
      <c r="L38" s="146"/>
      <c r="M38" s="205"/>
      <c r="N38" s="205"/>
      <c r="O38" s="205"/>
      <c r="P38" s="205"/>
      <c r="Q38" s="180"/>
    </row>
    <row r="39" spans="1:17" s="67" customFormat="1">
      <c r="A39" s="348">
        <f t="shared" si="0"/>
        <v>24</v>
      </c>
      <c r="B39" s="348" t="s">
        <v>149</v>
      </c>
      <c r="C39" s="377" t="s">
        <v>674</v>
      </c>
      <c r="D39" s="434"/>
      <c r="E39" s="354"/>
      <c r="F39" s="171"/>
      <c r="G39" s="161"/>
      <c r="H39" s="146"/>
      <c r="I39" s="146"/>
      <c r="J39" s="163"/>
      <c r="K39" s="146"/>
      <c r="L39" s="146"/>
      <c r="M39" s="205"/>
      <c r="N39" s="205"/>
      <c r="O39" s="205"/>
      <c r="P39" s="205"/>
      <c r="Q39" s="180"/>
    </row>
    <row r="40" spans="1:17" s="67" customFormat="1">
      <c r="A40" s="348">
        <f t="shared" si="0"/>
        <v>25</v>
      </c>
      <c r="B40" s="348" t="s">
        <v>149</v>
      </c>
      <c r="C40" s="519" t="s">
        <v>675</v>
      </c>
      <c r="D40" s="520" t="s">
        <v>82</v>
      </c>
      <c r="E40" s="530">
        <v>28</v>
      </c>
      <c r="F40" s="171"/>
      <c r="G40" s="161"/>
      <c r="H40" s="146"/>
      <c r="I40" s="146"/>
      <c r="J40" s="163"/>
      <c r="K40" s="146"/>
      <c r="L40" s="146"/>
      <c r="M40" s="205"/>
      <c r="N40" s="205"/>
      <c r="O40" s="205"/>
      <c r="P40" s="205"/>
      <c r="Q40" s="180"/>
    </row>
    <row r="41" spans="1:17" s="67" customFormat="1">
      <c r="A41" s="348">
        <f t="shared" si="0"/>
        <v>26</v>
      </c>
      <c r="B41" s="348" t="s">
        <v>149</v>
      </c>
      <c r="C41" s="519" t="s">
        <v>676</v>
      </c>
      <c r="D41" s="520" t="s">
        <v>86</v>
      </c>
      <c r="E41" s="530">
        <v>5</v>
      </c>
      <c r="F41" s="171"/>
      <c r="G41" s="161"/>
      <c r="H41" s="146"/>
      <c r="I41" s="146"/>
      <c r="J41" s="163"/>
      <c r="K41" s="146"/>
      <c r="L41" s="146"/>
      <c r="M41" s="205"/>
      <c r="N41" s="205"/>
      <c r="O41" s="205"/>
      <c r="P41" s="205"/>
      <c r="Q41" s="180"/>
    </row>
    <row r="42" spans="1:17" s="67" customFormat="1" ht="36">
      <c r="A42" s="348">
        <f t="shared" si="0"/>
        <v>27</v>
      </c>
      <c r="B42" s="348" t="s">
        <v>149</v>
      </c>
      <c r="C42" s="519" t="s">
        <v>677</v>
      </c>
      <c r="D42" s="520" t="s">
        <v>82</v>
      </c>
      <c r="E42" s="530">
        <v>28</v>
      </c>
      <c r="F42" s="171"/>
      <c r="G42" s="161"/>
      <c r="H42" s="146"/>
      <c r="I42" s="146"/>
      <c r="J42" s="163"/>
      <c r="K42" s="146"/>
      <c r="L42" s="146"/>
      <c r="M42" s="205"/>
      <c r="N42" s="205"/>
      <c r="O42" s="205"/>
      <c r="P42" s="205"/>
      <c r="Q42" s="180"/>
    </row>
    <row r="43" spans="1:17" s="67" customFormat="1" ht="24">
      <c r="A43" s="348">
        <f t="shared" si="0"/>
        <v>28</v>
      </c>
      <c r="B43" s="348" t="s">
        <v>149</v>
      </c>
      <c r="C43" s="519" t="s">
        <v>678</v>
      </c>
      <c r="D43" s="520" t="s">
        <v>77</v>
      </c>
      <c r="E43" s="530">
        <v>14</v>
      </c>
      <c r="F43" s="171"/>
      <c r="G43" s="161"/>
      <c r="H43" s="146"/>
      <c r="I43" s="146"/>
      <c r="J43" s="163"/>
      <c r="K43" s="146"/>
      <c r="L43" s="146"/>
      <c r="M43" s="205"/>
      <c r="N43" s="205"/>
      <c r="O43" s="205"/>
      <c r="P43" s="205"/>
      <c r="Q43" s="180"/>
    </row>
    <row r="44" spans="1:17" s="67" customFormat="1" ht="24">
      <c r="A44" s="366">
        <f t="shared" si="0"/>
        <v>29</v>
      </c>
      <c r="B44" s="366" t="s">
        <v>149</v>
      </c>
      <c r="C44" s="523" t="s">
        <v>679</v>
      </c>
      <c r="D44" s="524" t="s">
        <v>93</v>
      </c>
      <c r="E44" s="531">
        <v>1</v>
      </c>
      <c r="F44" s="173"/>
      <c r="G44" s="174"/>
      <c r="H44" s="153"/>
      <c r="I44" s="153"/>
      <c r="J44" s="175"/>
      <c r="K44" s="153"/>
      <c r="L44" s="153"/>
      <c r="M44" s="208"/>
      <c r="N44" s="208"/>
      <c r="O44" s="208"/>
      <c r="P44" s="208"/>
      <c r="Q44" s="180"/>
    </row>
    <row r="45" spans="1:17" s="67" customFormat="1">
      <c r="A45" s="370"/>
      <c r="B45" s="370"/>
      <c r="C45" s="371" t="s">
        <v>680</v>
      </c>
      <c r="D45" s="431"/>
      <c r="E45" s="439"/>
      <c r="F45" s="221"/>
      <c r="G45" s="222"/>
      <c r="H45" s="135"/>
      <c r="I45" s="135"/>
      <c r="J45" s="223"/>
      <c r="K45" s="135"/>
      <c r="L45" s="135"/>
      <c r="M45" s="136"/>
      <c r="N45" s="136"/>
      <c r="O45" s="136"/>
      <c r="P45" s="136"/>
      <c r="Q45" s="180"/>
    </row>
    <row r="46" spans="1:17" s="67" customFormat="1" ht="24">
      <c r="A46" s="455">
        <f>A44+1</f>
        <v>30</v>
      </c>
      <c r="B46" s="455" t="s">
        <v>149</v>
      </c>
      <c r="C46" s="526" t="s">
        <v>681</v>
      </c>
      <c r="D46" s="527" t="s">
        <v>93</v>
      </c>
      <c r="E46" s="533">
        <v>1</v>
      </c>
      <c r="F46" s="171"/>
      <c r="G46" s="161"/>
      <c r="H46" s="146"/>
      <c r="I46" s="146"/>
      <c r="J46" s="163"/>
      <c r="K46" s="146"/>
      <c r="L46" s="146"/>
      <c r="M46" s="205"/>
      <c r="N46" s="205"/>
      <c r="O46" s="205"/>
      <c r="P46" s="205"/>
      <c r="Q46" s="180"/>
    </row>
    <row r="47" spans="1:17" s="67" customFormat="1">
      <c r="A47" s="366">
        <f t="shared" si="0"/>
        <v>31</v>
      </c>
      <c r="B47" s="366" t="s">
        <v>149</v>
      </c>
      <c r="C47" s="523" t="s">
        <v>682</v>
      </c>
      <c r="D47" s="524" t="s">
        <v>93</v>
      </c>
      <c r="E47" s="531">
        <v>1</v>
      </c>
      <c r="F47" s="171"/>
      <c r="G47" s="161"/>
      <c r="H47" s="146"/>
      <c r="I47" s="146"/>
      <c r="J47" s="163"/>
      <c r="K47" s="146"/>
      <c r="L47" s="146"/>
      <c r="M47" s="205"/>
      <c r="N47" s="205"/>
      <c r="O47" s="205"/>
      <c r="P47" s="205"/>
      <c r="Q47" s="180"/>
    </row>
    <row r="48" spans="1:17">
      <c r="A48" s="890" t="s">
        <v>177</v>
      </c>
      <c r="B48" s="890"/>
      <c r="C48" s="890"/>
      <c r="D48" s="890"/>
      <c r="E48" s="890"/>
      <c r="F48" s="890"/>
      <c r="G48" s="890"/>
      <c r="H48" s="890"/>
      <c r="I48" s="890"/>
      <c r="J48" s="890"/>
      <c r="K48" s="890"/>
      <c r="L48" s="131">
        <f>SUM(L13:L47)</f>
        <v>0</v>
      </c>
      <c r="M48" s="131">
        <f>SUM(M13:M47)</f>
        <v>0</v>
      </c>
      <c r="N48" s="131">
        <f>SUM(N13:N47)</f>
        <v>0</v>
      </c>
      <c r="O48" s="131">
        <f>SUM(O13:O47)</f>
        <v>0</v>
      </c>
      <c r="P48" s="131">
        <f>SUM(P13:P47)</f>
        <v>0</v>
      </c>
    </row>
    <row r="49" spans="1:17" s="50" customFormat="1" collapsed="1">
      <c r="A49" s="885" t="s">
        <v>36</v>
      </c>
      <c r="B49" s="885"/>
      <c r="C49" s="1"/>
      <c r="D49" s="1"/>
      <c r="E49" s="98"/>
      <c r="F49" s="1"/>
      <c r="G49" s="1"/>
      <c r="H49" s="1"/>
      <c r="I49" s="1"/>
      <c r="J49" s="1"/>
      <c r="K49" s="1"/>
      <c r="L49" s="1"/>
      <c r="M49" s="1"/>
      <c r="N49" s="1"/>
      <c r="O49" s="1"/>
      <c r="P49" s="1"/>
      <c r="Q49" s="192"/>
    </row>
    <row r="50" spans="1:17" s="1" customFormat="1" ht="12.75" customHeight="1">
      <c r="A50" s="886" t="s">
        <v>56</v>
      </c>
      <c r="B50" s="886"/>
      <c r="C50" s="886"/>
      <c r="D50" s="886"/>
      <c r="E50" s="886"/>
      <c r="F50" s="886"/>
      <c r="G50" s="886"/>
      <c r="H50" s="886"/>
      <c r="I50" s="886"/>
      <c r="J50" s="886"/>
      <c r="K50" s="886"/>
      <c r="L50" s="886"/>
      <c r="M50" s="886"/>
      <c r="N50" s="886"/>
      <c r="O50" s="886"/>
      <c r="P50" s="886"/>
      <c r="Q50" s="177"/>
    </row>
    <row r="51" spans="1:17" s="1" customFormat="1" ht="12.75" customHeight="1">
      <c r="A51" s="910"/>
      <c r="B51" s="910"/>
      <c r="C51" s="50"/>
      <c r="D51" s="50"/>
      <c r="E51" s="103"/>
      <c r="F51" s="50"/>
      <c r="G51" s="50"/>
      <c r="H51" s="50"/>
      <c r="I51" s="50"/>
      <c r="J51" s="50"/>
      <c r="K51" s="50"/>
      <c r="L51" s="50"/>
      <c r="M51" s="50"/>
      <c r="N51" s="50"/>
      <c r="O51" s="50"/>
      <c r="P51" s="50"/>
      <c r="Q51" s="177"/>
    </row>
    <row r="52" spans="1:17" s="1" customFormat="1" ht="12.75" customHeight="1">
      <c r="A52" s="906" t="s">
        <v>7</v>
      </c>
      <c r="B52" s="906"/>
      <c r="C52" s="307"/>
      <c r="D52" s="50"/>
      <c r="E52" s="103"/>
      <c r="F52" s="50"/>
      <c r="G52" s="50"/>
      <c r="H52" s="50"/>
      <c r="I52" s="50"/>
      <c r="J52" s="50"/>
      <c r="K52" s="50"/>
      <c r="L52" s="307"/>
      <c r="M52" s="887"/>
      <c r="N52" s="887"/>
      <c r="O52" s="50"/>
      <c r="P52" s="50"/>
      <c r="Q52" s="177"/>
    </row>
    <row r="53" spans="1:17" s="1" customFormat="1" ht="12.75" customHeight="1">
      <c r="B53" s="58"/>
      <c r="E53" s="98"/>
      <c r="Q53" s="177"/>
    </row>
    <row r="54" spans="1:17" s="50" customFormat="1">
      <c r="E54" s="103"/>
      <c r="Q54" s="192"/>
    </row>
    <row r="55" spans="1:17" s="50" customFormat="1">
      <c r="C55" s="307"/>
      <c r="E55" s="103"/>
      <c r="L55" s="307"/>
      <c r="M55" s="887"/>
      <c r="N55" s="887"/>
      <c r="Q55" s="192"/>
    </row>
    <row r="56" spans="1:17" s="50" customFormat="1">
      <c r="C56" s="305"/>
      <c r="E56" s="103"/>
      <c r="L56" s="305"/>
      <c r="M56" s="878"/>
      <c r="N56" s="878"/>
      <c r="Q56" s="192"/>
    </row>
    <row r="57" spans="1:17" s="50" customFormat="1" collapsed="1">
      <c r="B57" s="87"/>
      <c r="E57" s="103"/>
      <c r="F57" s="87"/>
      <c r="G57" s="87"/>
      <c r="Q57" s="192"/>
    </row>
  </sheetData>
  <mergeCells count="27">
    <mergeCell ref="M55:N55"/>
    <mergeCell ref="M56:N56"/>
    <mergeCell ref="L10:P10"/>
    <mergeCell ref="A48:K48"/>
    <mergeCell ref="A49:B49"/>
    <mergeCell ref="A50:P50"/>
    <mergeCell ref="A51:B51"/>
    <mergeCell ref="A52:B52"/>
    <mergeCell ref="M52:N52"/>
    <mergeCell ref="A10:A11"/>
    <mergeCell ref="B10:B11"/>
    <mergeCell ref="C10:C11"/>
    <mergeCell ref="D10:D11"/>
    <mergeCell ref="E10:E11"/>
    <mergeCell ref="F10:K10"/>
    <mergeCell ref="A5:B5"/>
    <mergeCell ref="C5:P5"/>
    <mergeCell ref="A6:B6"/>
    <mergeCell ref="C6:P6"/>
    <mergeCell ref="A7:B7"/>
    <mergeCell ref="C7:P7"/>
    <mergeCell ref="A1:P1"/>
    <mergeCell ref="A2:P2"/>
    <mergeCell ref="A3:B3"/>
    <mergeCell ref="C3:P3"/>
    <mergeCell ref="A4:B4"/>
    <mergeCell ref="C4:P4"/>
  </mergeCells>
  <conditionalFormatting sqref="C13:C47">
    <cfRule type="expression" priority="2" stopIfTrue="1">
      <formula>#REF!</formula>
    </cfRule>
  </conditionalFormatting>
  <conditionalFormatting sqref="C13:C47">
    <cfRule type="expression" priority="1" stopIfTrue="1">
      <formula>#REF!</formula>
    </cfRule>
  </conditionalFormatting>
  <pageMargins left="0.25" right="0.25" top="0.75" bottom="0.75" header="0.3" footer="0.3"/>
  <pageSetup paperSize="9" scale="7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P45"/>
  <sheetViews>
    <sheetView showZeros="0" zoomScale="75" zoomScaleNormal="75" zoomScaleSheetLayoutView="90" workbookViewId="0">
      <selection activeCell="C24" sqref="C24:D24"/>
    </sheetView>
  </sheetViews>
  <sheetFormatPr defaultColWidth="9.140625" defaultRowHeight="12.75"/>
  <cols>
    <col min="1" max="1" width="10.7109375" style="34" customWidth="1"/>
    <col min="2" max="2" width="10.5703125" style="34" customWidth="1"/>
    <col min="3" max="3" width="32.7109375" style="34" customWidth="1"/>
    <col min="4" max="4" width="10" style="34" customWidth="1"/>
    <col min="5" max="5" width="13.28515625" style="34" customWidth="1"/>
    <col min="6" max="6" width="13.7109375" style="34" customWidth="1"/>
    <col min="7" max="7" width="17.5703125" style="34" customWidth="1"/>
    <col min="8" max="8" width="12.85546875" style="34" customWidth="1"/>
    <col min="9" max="9" width="16" style="34" customWidth="1"/>
    <col min="10" max="10" width="9.140625" style="166"/>
    <col min="11" max="16384" width="9.140625" style="34"/>
  </cols>
  <sheetData>
    <row r="1" spans="1:16" ht="18.75">
      <c r="A1" s="89"/>
    </row>
    <row r="2" spans="1:16" ht="18" customHeight="1">
      <c r="A2" s="861" t="s">
        <v>103</v>
      </c>
      <c r="B2" s="861"/>
      <c r="C2" s="861"/>
      <c r="D2" s="861"/>
      <c r="E2" s="861"/>
      <c r="F2" s="861"/>
      <c r="G2" s="861"/>
      <c r="H2" s="861"/>
      <c r="I2" s="861"/>
    </row>
    <row r="3" spans="1:16" ht="18.75">
      <c r="C3" s="35"/>
      <c r="D3" s="36"/>
      <c r="F3" s="37"/>
      <c r="G3" s="37"/>
      <c r="H3" s="37"/>
      <c r="I3" s="37"/>
    </row>
    <row r="4" spans="1:16">
      <c r="A4" s="38"/>
    </row>
    <row r="5" spans="1:16" ht="18.75">
      <c r="A5" s="911" t="str">
        <f>Koptame!B20</f>
        <v>Iekšējie inženiertīkli</v>
      </c>
      <c r="B5" s="912"/>
      <c r="C5" s="912"/>
      <c r="D5" s="912"/>
      <c r="E5" s="912"/>
      <c r="F5" s="912"/>
      <c r="G5" s="912"/>
      <c r="H5" s="912"/>
      <c r="I5" s="913"/>
    </row>
    <row r="6" spans="1:16">
      <c r="A6" s="38"/>
    </row>
    <row r="7" spans="1:16" ht="15.75" customHeight="1">
      <c r="A7" s="868" t="s">
        <v>10</v>
      </c>
      <c r="B7" s="868"/>
      <c r="C7" s="859" t="s">
        <v>117</v>
      </c>
      <c r="D7" s="859"/>
      <c r="E7" s="859"/>
      <c r="F7" s="859"/>
      <c r="G7" s="859"/>
      <c r="H7" s="859"/>
      <c r="I7" s="859"/>
      <c r="J7" s="859"/>
      <c r="K7" s="859"/>
      <c r="L7" s="859"/>
      <c r="M7" s="859"/>
      <c r="N7" s="859"/>
      <c r="O7" s="859"/>
      <c r="P7" s="859"/>
    </row>
    <row r="8" spans="1:16" ht="15.75" customHeight="1">
      <c r="A8" s="850" t="s">
        <v>11</v>
      </c>
      <c r="B8" s="850"/>
      <c r="C8" s="859" t="s">
        <v>118</v>
      </c>
      <c r="D8" s="859"/>
      <c r="E8" s="859"/>
      <c r="F8" s="859"/>
      <c r="G8" s="859"/>
      <c r="H8" s="859"/>
      <c r="I8" s="859"/>
      <c r="J8" s="859"/>
      <c r="K8" s="859"/>
      <c r="L8" s="859"/>
      <c r="M8" s="859"/>
      <c r="N8" s="859"/>
      <c r="O8" s="859"/>
      <c r="P8" s="859"/>
    </row>
    <row r="9" spans="1:16" ht="15.75" customHeight="1">
      <c r="A9" s="850" t="s">
        <v>12</v>
      </c>
      <c r="B9" s="850"/>
      <c r="C9" s="859" t="s">
        <v>50</v>
      </c>
      <c r="D9" s="859"/>
      <c r="E9" s="859"/>
      <c r="F9" s="859"/>
      <c r="G9" s="859"/>
      <c r="H9" s="859"/>
      <c r="I9" s="859"/>
      <c r="J9" s="859"/>
      <c r="K9" s="859"/>
      <c r="L9" s="859"/>
      <c r="M9" s="859"/>
      <c r="N9" s="859"/>
      <c r="O9" s="859"/>
      <c r="P9" s="859"/>
    </row>
    <row r="10" spans="1:16" ht="15.75" customHeight="1">
      <c r="A10" s="850" t="s">
        <v>30</v>
      </c>
      <c r="B10" s="850"/>
      <c r="C10" s="52">
        <f>Koptame!B16</f>
        <v>0</v>
      </c>
      <c r="D10" s="53"/>
      <c r="E10" s="39"/>
      <c r="F10" s="39"/>
      <c r="G10" s="39"/>
      <c r="H10" s="39"/>
      <c r="I10" s="39"/>
    </row>
    <row r="11" spans="1:16" ht="15" customHeight="1">
      <c r="A11" s="850" t="s">
        <v>54</v>
      </c>
      <c r="B11" s="850"/>
      <c r="C11" s="53"/>
      <c r="D11" s="53"/>
      <c r="E11" s="39"/>
      <c r="F11" s="39"/>
      <c r="G11" s="39"/>
      <c r="H11" s="39"/>
      <c r="I11" s="39"/>
    </row>
    <row r="12" spans="1:16" ht="18" customHeight="1">
      <c r="A12" s="53"/>
      <c r="B12" s="39"/>
      <c r="C12" s="39"/>
      <c r="D12" s="39"/>
      <c r="E12" s="39"/>
      <c r="F12" s="862" t="s">
        <v>43</v>
      </c>
      <c r="G12" s="863"/>
      <c r="H12" s="39"/>
      <c r="I12" s="39"/>
    </row>
    <row r="13" spans="1:16" ht="18.75" customHeight="1">
      <c r="A13" s="53"/>
      <c r="B13" s="39"/>
      <c r="C13" s="39"/>
      <c r="D13" s="39"/>
      <c r="E13" s="39"/>
      <c r="F13" s="862" t="s">
        <v>13</v>
      </c>
      <c r="G13" s="863"/>
      <c r="H13" s="39"/>
      <c r="I13" s="39"/>
    </row>
    <row r="14" spans="1:16" ht="15.75">
      <c r="A14" s="90"/>
    </row>
    <row r="15" spans="1:16" ht="51" customHeight="1">
      <c r="A15" s="860" t="s">
        <v>14</v>
      </c>
      <c r="B15" s="860" t="s">
        <v>15</v>
      </c>
      <c r="C15" s="869" t="s">
        <v>16</v>
      </c>
      <c r="D15" s="870"/>
      <c r="E15" s="860" t="s">
        <v>44</v>
      </c>
      <c r="F15" s="860" t="s">
        <v>17</v>
      </c>
      <c r="G15" s="860"/>
      <c r="H15" s="860"/>
      <c r="I15" s="860" t="s">
        <v>18</v>
      </c>
    </row>
    <row r="16" spans="1:16" ht="40.5" customHeight="1">
      <c r="A16" s="860"/>
      <c r="B16" s="860"/>
      <c r="C16" s="871"/>
      <c r="D16" s="872"/>
      <c r="E16" s="860"/>
      <c r="F16" s="304" t="s">
        <v>45</v>
      </c>
      <c r="G16" s="304" t="s">
        <v>46</v>
      </c>
      <c r="H16" s="304" t="s">
        <v>47</v>
      </c>
      <c r="I16" s="860"/>
    </row>
    <row r="17" spans="1:10" s="95" customFormat="1">
      <c r="A17" s="535">
        <v>1</v>
      </c>
      <c r="B17" s="536" t="s">
        <v>683</v>
      </c>
      <c r="C17" s="916" t="s">
        <v>684</v>
      </c>
      <c r="D17" s="916"/>
      <c r="E17" s="99"/>
      <c r="F17" s="99"/>
      <c r="G17" s="99"/>
      <c r="H17" s="99"/>
      <c r="I17" s="96"/>
      <c r="J17" s="167"/>
    </row>
    <row r="18" spans="1:10" s="95" customFormat="1">
      <c r="A18" s="355">
        <f t="shared" ref="A18:A29" si="0">A17+1</f>
        <v>2</v>
      </c>
      <c r="B18" s="534" t="s">
        <v>685</v>
      </c>
      <c r="C18" s="915" t="s">
        <v>686</v>
      </c>
      <c r="D18" s="915"/>
      <c r="E18" s="100"/>
      <c r="F18" s="100"/>
      <c r="G18" s="100"/>
      <c r="H18" s="100"/>
      <c r="I18" s="97"/>
      <c r="J18" s="167"/>
    </row>
    <row r="19" spans="1:10" s="182" customFormat="1">
      <c r="A19" s="355">
        <f t="shared" si="0"/>
        <v>3</v>
      </c>
      <c r="B19" s="534" t="s">
        <v>687</v>
      </c>
      <c r="C19" s="917" t="s">
        <v>688</v>
      </c>
      <c r="D19" s="917"/>
      <c r="E19" s="200"/>
      <c r="F19" s="200"/>
      <c r="G19" s="200"/>
      <c r="H19" s="200"/>
      <c r="I19" s="200"/>
      <c r="J19" s="181"/>
    </row>
    <row r="20" spans="1:10" s="95" customFormat="1">
      <c r="A20" s="355">
        <f t="shared" si="0"/>
        <v>4</v>
      </c>
      <c r="B20" s="534" t="s">
        <v>689</v>
      </c>
      <c r="C20" s="917" t="s">
        <v>690</v>
      </c>
      <c r="D20" s="917"/>
      <c r="E20" s="100"/>
      <c r="F20" s="100"/>
      <c r="G20" s="100"/>
      <c r="H20" s="100"/>
      <c r="I20" s="97"/>
      <c r="J20" s="167"/>
    </row>
    <row r="21" spans="1:10" s="95" customFormat="1">
      <c r="A21" s="355">
        <f t="shared" si="0"/>
        <v>5</v>
      </c>
      <c r="B21" s="534" t="s">
        <v>691</v>
      </c>
      <c r="C21" s="915" t="s">
        <v>692</v>
      </c>
      <c r="D21" s="915"/>
      <c r="E21" s="100"/>
      <c r="F21" s="100"/>
      <c r="G21" s="100"/>
      <c r="H21" s="100"/>
      <c r="I21" s="97"/>
      <c r="J21" s="167"/>
    </row>
    <row r="22" spans="1:10" s="95" customFormat="1">
      <c r="A22" s="355">
        <f t="shared" si="0"/>
        <v>6</v>
      </c>
      <c r="B22" s="534" t="s">
        <v>693</v>
      </c>
      <c r="C22" s="915" t="s">
        <v>694</v>
      </c>
      <c r="D22" s="915"/>
      <c r="E22" s="100"/>
      <c r="F22" s="100"/>
      <c r="G22" s="100"/>
      <c r="H22" s="100"/>
      <c r="I22" s="97"/>
      <c r="J22" s="167"/>
    </row>
    <row r="23" spans="1:10" s="95" customFormat="1">
      <c r="A23" s="355">
        <f t="shared" si="0"/>
        <v>7</v>
      </c>
      <c r="B23" s="534" t="s">
        <v>695</v>
      </c>
      <c r="C23" s="915" t="s">
        <v>696</v>
      </c>
      <c r="D23" s="915"/>
      <c r="E23" s="100"/>
      <c r="F23" s="100"/>
      <c r="G23" s="100"/>
      <c r="H23" s="100"/>
      <c r="I23" s="97"/>
      <c r="J23" s="167"/>
    </row>
    <row r="24" spans="1:10" s="95" customFormat="1">
      <c r="A24" s="355">
        <f t="shared" si="0"/>
        <v>8</v>
      </c>
      <c r="B24" s="534" t="s">
        <v>697</v>
      </c>
      <c r="C24" s="917" t="s">
        <v>698</v>
      </c>
      <c r="D24" s="917"/>
      <c r="E24" s="100"/>
      <c r="F24" s="100"/>
      <c r="G24" s="100"/>
      <c r="H24" s="100"/>
      <c r="I24" s="97"/>
      <c r="J24" s="167"/>
    </row>
    <row r="25" spans="1:10" s="95" customFormat="1">
      <c r="A25" s="355">
        <f t="shared" si="0"/>
        <v>9</v>
      </c>
      <c r="B25" s="534" t="s">
        <v>699</v>
      </c>
      <c r="C25" s="917" t="s">
        <v>700</v>
      </c>
      <c r="D25" s="917"/>
      <c r="E25" s="100"/>
      <c r="F25" s="100"/>
      <c r="G25" s="100"/>
      <c r="H25" s="100"/>
      <c r="I25" s="97"/>
      <c r="J25" s="167"/>
    </row>
    <row r="26" spans="1:10" s="95" customFormat="1">
      <c r="A26" s="355">
        <f t="shared" si="0"/>
        <v>10</v>
      </c>
      <c r="B26" s="534" t="s">
        <v>701</v>
      </c>
      <c r="C26" s="917" t="s">
        <v>702</v>
      </c>
      <c r="D26" s="917"/>
      <c r="E26" s="100"/>
      <c r="F26" s="100"/>
      <c r="G26" s="100"/>
      <c r="H26" s="100"/>
      <c r="I26" s="97"/>
      <c r="J26" s="167"/>
    </row>
    <row r="27" spans="1:10" s="95" customFormat="1">
      <c r="A27" s="355">
        <f t="shared" si="0"/>
        <v>11</v>
      </c>
      <c r="B27" s="534" t="s">
        <v>703</v>
      </c>
      <c r="C27" s="917" t="s">
        <v>704</v>
      </c>
      <c r="D27" s="917"/>
      <c r="E27" s="100"/>
      <c r="F27" s="100"/>
      <c r="G27" s="100"/>
      <c r="H27" s="100"/>
      <c r="I27" s="97"/>
      <c r="J27" s="167"/>
    </row>
    <row r="28" spans="1:10" s="95" customFormat="1" ht="12.75" customHeight="1">
      <c r="A28" s="355">
        <f t="shared" si="0"/>
        <v>12</v>
      </c>
      <c r="B28" s="534" t="s">
        <v>705</v>
      </c>
      <c r="C28" s="917" t="s">
        <v>706</v>
      </c>
      <c r="D28" s="917"/>
      <c r="E28" s="100"/>
      <c r="F28" s="100"/>
      <c r="G28" s="100"/>
      <c r="H28" s="100"/>
      <c r="I28" s="97"/>
      <c r="J28" s="167"/>
    </row>
    <row r="29" spans="1:10" s="95" customFormat="1" ht="12.75" customHeight="1">
      <c r="A29" s="537">
        <f t="shared" si="0"/>
        <v>13</v>
      </c>
      <c r="B29" s="538" t="s">
        <v>707</v>
      </c>
      <c r="C29" s="914" t="s">
        <v>708</v>
      </c>
      <c r="D29" s="914"/>
      <c r="E29" s="539"/>
      <c r="F29" s="539"/>
      <c r="G29" s="539"/>
      <c r="H29" s="539"/>
      <c r="I29" s="540"/>
      <c r="J29" s="167"/>
    </row>
    <row r="30" spans="1:10" ht="15.75" customHeight="1">
      <c r="A30" s="851" t="s">
        <v>19</v>
      </c>
      <c r="B30" s="852"/>
      <c r="C30" s="853"/>
      <c r="D30" s="304"/>
      <c r="E30" s="124">
        <f>SUM(E17:E29)</f>
        <v>0</v>
      </c>
      <c r="F30" s="124"/>
      <c r="G30" s="124"/>
      <c r="H30" s="124"/>
      <c r="I30" s="124"/>
    </row>
    <row r="31" spans="1:10" ht="15.75" customHeight="1">
      <c r="A31" s="918" t="s">
        <v>31</v>
      </c>
      <c r="B31" s="919"/>
      <c r="C31" s="920"/>
      <c r="D31" s="125" t="s">
        <v>114</v>
      </c>
      <c r="E31" s="126">
        <f>E30*0.05</f>
        <v>0</v>
      </c>
      <c r="F31" s="126"/>
      <c r="G31" s="126"/>
      <c r="H31" s="126"/>
      <c r="I31" s="124"/>
    </row>
    <row r="32" spans="1:10" ht="15.75" customHeight="1">
      <c r="A32" s="854" t="s">
        <v>35</v>
      </c>
      <c r="B32" s="855"/>
      <c r="C32" s="856"/>
      <c r="D32" s="125" t="s">
        <v>114</v>
      </c>
      <c r="E32" s="126">
        <f>E31*0.07</f>
        <v>0</v>
      </c>
      <c r="F32" s="126"/>
      <c r="G32" s="126"/>
      <c r="H32" s="126"/>
      <c r="I32" s="124"/>
    </row>
    <row r="33" spans="1:9" ht="15.75" customHeight="1">
      <c r="A33" s="918" t="s">
        <v>29</v>
      </c>
      <c r="B33" s="919"/>
      <c r="C33" s="920"/>
      <c r="D33" s="125" t="s">
        <v>114</v>
      </c>
      <c r="E33" s="126">
        <f>E30*0.03</f>
        <v>0</v>
      </c>
      <c r="F33" s="126"/>
      <c r="G33" s="126"/>
      <c r="H33" s="126"/>
      <c r="I33" s="124"/>
    </row>
    <row r="34" spans="1:9" ht="15.75" customHeight="1">
      <c r="A34" s="851" t="s">
        <v>20</v>
      </c>
      <c r="B34" s="852"/>
      <c r="C34" s="853"/>
      <c r="D34" s="132"/>
      <c r="E34" s="124">
        <f>E30+E31+E33</f>
        <v>0</v>
      </c>
      <c r="F34" s="124"/>
      <c r="G34" s="124"/>
      <c r="H34" s="124"/>
      <c r="I34" s="124"/>
    </row>
    <row r="35" spans="1:9" ht="18.75">
      <c r="A35" s="41"/>
    </row>
    <row r="36" spans="1:9" ht="18.75">
      <c r="A36" s="41"/>
    </row>
    <row r="37" spans="1:9" ht="15">
      <c r="A37" s="303" t="s">
        <v>7</v>
      </c>
      <c r="B37" s="3"/>
      <c r="C37" s="4"/>
      <c r="F37" s="39"/>
    </row>
    <row r="38" spans="1:9" ht="15">
      <c r="A38" s="39"/>
      <c r="B38" s="4"/>
      <c r="C38" s="307">
        <f>Koptame!B32</f>
        <v>0</v>
      </c>
      <c r="D38" s="42"/>
      <c r="E38" s="42"/>
      <c r="F38" s="39"/>
    </row>
    <row r="39" spans="1:9" ht="15">
      <c r="A39" s="43"/>
      <c r="B39" s="3"/>
      <c r="C39" s="305">
        <f>Koptame!B33</f>
        <v>0</v>
      </c>
      <c r="D39" s="39"/>
      <c r="E39" s="39"/>
      <c r="F39" s="39"/>
    </row>
    <row r="40" spans="1:9" ht="15">
      <c r="B40" s="3"/>
      <c r="C40" s="305"/>
    </row>
    <row r="41" spans="1:9" ht="15">
      <c r="B41" s="3"/>
      <c r="C41" s="305"/>
    </row>
    <row r="42" spans="1:9" ht="11.25" customHeight="1">
      <c r="B42" s="7"/>
      <c r="C42" s="1"/>
    </row>
    <row r="43" spans="1:9" ht="15" hidden="1">
      <c r="B43" s="3">
        <f>Koptame!A37</f>
        <v>0</v>
      </c>
      <c r="C43" s="2">
        <f>Koptame!B37</f>
        <v>0</v>
      </c>
    </row>
    <row r="44" spans="1:9" ht="15" hidden="1">
      <c r="B44" s="4">
        <f>Koptame!A38</f>
        <v>0</v>
      </c>
      <c r="C44" s="307">
        <f>Koptame!B38</f>
        <v>0</v>
      </c>
    </row>
    <row r="45" spans="1:9" ht="15" hidden="1">
      <c r="B45" s="3">
        <f>Koptame!A39</f>
        <v>0</v>
      </c>
      <c r="C45" s="305">
        <f>Koptame!B39</f>
        <v>0</v>
      </c>
    </row>
  </sheetData>
  <mergeCells count="36">
    <mergeCell ref="A30:C30"/>
    <mergeCell ref="A34:C34"/>
    <mergeCell ref="A33:C33"/>
    <mergeCell ref="A31:C31"/>
    <mergeCell ref="A32:C32"/>
    <mergeCell ref="C29:D29"/>
    <mergeCell ref="C21:D21"/>
    <mergeCell ref="C22:D22"/>
    <mergeCell ref="C17:D17"/>
    <mergeCell ref="C18:D18"/>
    <mergeCell ref="C26:D26"/>
    <mergeCell ref="C28:D28"/>
    <mergeCell ref="C20:D20"/>
    <mergeCell ref="C19:D19"/>
    <mergeCell ref="C25:D25"/>
    <mergeCell ref="C23:D23"/>
    <mergeCell ref="C24:D24"/>
    <mergeCell ref="C27:D27"/>
    <mergeCell ref="A2:I2"/>
    <mergeCell ref="A5:I5"/>
    <mergeCell ref="A7:B7"/>
    <mergeCell ref="A8:B8"/>
    <mergeCell ref="C7:P7"/>
    <mergeCell ref="C8:P8"/>
    <mergeCell ref="A15:A16"/>
    <mergeCell ref="B15:B16"/>
    <mergeCell ref="C15:D16"/>
    <mergeCell ref="F13:G13"/>
    <mergeCell ref="I15:I16"/>
    <mergeCell ref="F15:H15"/>
    <mergeCell ref="E15:E16"/>
    <mergeCell ref="A11:B11"/>
    <mergeCell ref="A9:B9"/>
    <mergeCell ref="A10:B10"/>
    <mergeCell ref="F12:G12"/>
    <mergeCell ref="C9:P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Q172"/>
  <sheetViews>
    <sheetView showZeros="0" zoomScale="75" zoomScaleNormal="75" zoomScaleSheetLayoutView="80" workbookViewId="0">
      <selection sqref="A1:P1"/>
    </sheetView>
  </sheetViews>
  <sheetFormatPr defaultColWidth="9.140625" defaultRowHeight="15"/>
  <cols>
    <col min="1" max="1" width="8.85546875" style="60" customWidth="1"/>
    <col min="2" max="2" width="11.7109375" style="68" customWidth="1"/>
    <col min="3" max="3" width="45.7109375" style="60" customWidth="1"/>
    <col min="4" max="4" width="8.7109375" style="60" customWidth="1"/>
    <col min="5" max="5" width="8.7109375" style="102" customWidth="1"/>
    <col min="6" max="7" width="8.7109375" style="68" customWidth="1"/>
    <col min="8" max="11" width="8.7109375" style="60" customWidth="1"/>
    <col min="12" max="16" width="12.7109375" style="60" customWidth="1"/>
    <col min="17" max="17" width="9.140625" style="85"/>
    <col min="18" max="16384" width="9.140625" style="60"/>
  </cols>
  <sheetData>
    <row r="1" spans="1:17" s="59" customFormat="1" ht="15.75">
      <c r="A1" s="921" t="s">
        <v>64</v>
      </c>
      <c r="B1" s="921"/>
      <c r="C1" s="921"/>
      <c r="D1" s="921"/>
      <c r="E1" s="921"/>
      <c r="F1" s="921"/>
      <c r="G1" s="921"/>
      <c r="H1" s="921"/>
      <c r="I1" s="921"/>
      <c r="J1" s="921"/>
      <c r="K1" s="921"/>
      <c r="L1" s="921"/>
      <c r="M1" s="921"/>
      <c r="N1" s="921"/>
      <c r="O1" s="921"/>
      <c r="P1" s="921"/>
      <c r="Q1" s="101"/>
    </row>
    <row r="2" spans="1:17" s="59" customFormat="1" ht="15.75">
      <c r="A2" s="899" t="s">
        <v>684</v>
      </c>
      <c r="B2" s="899"/>
      <c r="C2" s="899"/>
      <c r="D2" s="899"/>
      <c r="E2" s="899"/>
      <c r="F2" s="899"/>
      <c r="G2" s="899"/>
      <c r="H2" s="899"/>
      <c r="I2" s="899"/>
      <c r="J2" s="899"/>
      <c r="K2" s="899"/>
      <c r="L2" s="899"/>
      <c r="M2" s="899"/>
      <c r="N2" s="899"/>
      <c r="O2" s="899"/>
      <c r="P2" s="899"/>
      <c r="Q2" s="101"/>
    </row>
    <row r="3" spans="1:17" s="59" customFormat="1" ht="15.75">
      <c r="A3" s="876" t="s">
        <v>10</v>
      </c>
      <c r="B3" s="876"/>
      <c r="C3" s="859" t="s">
        <v>117</v>
      </c>
      <c r="D3" s="859"/>
      <c r="E3" s="859"/>
      <c r="F3" s="859"/>
      <c r="G3" s="859"/>
      <c r="H3" s="859"/>
      <c r="I3" s="859"/>
      <c r="J3" s="859"/>
      <c r="K3" s="859"/>
      <c r="L3" s="859"/>
      <c r="M3" s="859"/>
      <c r="N3" s="859"/>
      <c r="O3" s="859"/>
      <c r="P3" s="859"/>
      <c r="Q3" s="101"/>
    </row>
    <row r="4" spans="1:17" s="59" customFormat="1" ht="15.75">
      <c r="A4" s="876" t="s">
        <v>11</v>
      </c>
      <c r="B4" s="876"/>
      <c r="C4" s="859" t="s">
        <v>118</v>
      </c>
      <c r="D4" s="859"/>
      <c r="E4" s="859"/>
      <c r="F4" s="859"/>
      <c r="G4" s="859"/>
      <c r="H4" s="859"/>
      <c r="I4" s="859"/>
      <c r="J4" s="859"/>
      <c r="K4" s="859"/>
      <c r="L4" s="859"/>
      <c r="M4" s="859"/>
      <c r="N4" s="859"/>
      <c r="O4" s="859"/>
      <c r="P4" s="859"/>
      <c r="Q4" s="101"/>
    </row>
    <row r="5" spans="1:17" s="59" customFormat="1" ht="15.75">
      <c r="A5" s="876" t="s">
        <v>12</v>
      </c>
      <c r="B5" s="876"/>
      <c r="C5" s="859" t="s">
        <v>50</v>
      </c>
      <c r="D5" s="859"/>
      <c r="E5" s="859"/>
      <c r="F5" s="859"/>
      <c r="G5" s="859"/>
      <c r="H5" s="859"/>
      <c r="I5" s="859"/>
      <c r="J5" s="859"/>
      <c r="K5" s="859"/>
      <c r="L5" s="859"/>
      <c r="M5" s="859"/>
      <c r="N5" s="859"/>
      <c r="O5" s="859"/>
      <c r="P5" s="859"/>
      <c r="Q5" s="101"/>
    </row>
    <row r="6" spans="1:17" s="59" customFormat="1" ht="15.75">
      <c r="A6" s="876" t="s">
        <v>30</v>
      </c>
      <c r="B6" s="876"/>
      <c r="C6" s="874"/>
      <c r="D6" s="874"/>
      <c r="E6" s="874"/>
      <c r="F6" s="874"/>
      <c r="G6" s="874"/>
      <c r="H6" s="874"/>
      <c r="I6" s="874"/>
      <c r="J6" s="874"/>
      <c r="K6" s="874"/>
      <c r="L6" s="874"/>
      <c r="M6" s="874"/>
      <c r="N6" s="874"/>
      <c r="O6" s="874"/>
      <c r="P6" s="874"/>
      <c r="Q6" s="101"/>
    </row>
    <row r="7" spans="1:17" s="59" customFormat="1" ht="15.75">
      <c r="A7" s="876" t="s">
        <v>54</v>
      </c>
      <c r="B7" s="876"/>
      <c r="C7" s="873"/>
      <c r="D7" s="873"/>
      <c r="E7" s="873"/>
      <c r="F7" s="873"/>
      <c r="G7" s="873"/>
      <c r="H7" s="873"/>
      <c r="I7" s="873"/>
      <c r="J7" s="873"/>
      <c r="K7" s="873"/>
      <c r="L7" s="873"/>
      <c r="M7" s="873"/>
      <c r="N7" s="873"/>
      <c r="O7" s="873"/>
      <c r="P7" s="873"/>
      <c r="Q7" s="101"/>
    </row>
    <row r="8" spans="1:17" s="59" customFormat="1" ht="15.75">
      <c r="A8" s="73"/>
      <c r="B8" s="73"/>
      <c r="C8" s="73"/>
      <c r="D8" s="73"/>
      <c r="E8" s="104"/>
      <c r="F8" s="73"/>
      <c r="G8" s="73"/>
      <c r="H8" s="73"/>
      <c r="I8" s="73"/>
      <c r="J8" s="73"/>
      <c r="K8" s="73"/>
      <c r="L8" s="66"/>
      <c r="M8" s="66"/>
      <c r="N8" s="74"/>
      <c r="O8" s="63" t="s">
        <v>52</v>
      </c>
      <c r="P8" s="75">
        <f>P168</f>
        <v>0</v>
      </c>
      <c r="Q8" s="101"/>
    </row>
    <row r="9" spans="1:17" ht="15.75">
      <c r="A9" s="66"/>
      <c r="B9" s="66"/>
      <c r="C9" s="66"/>
      <c r="D9" s="66"/>
      <c r="E9" s="110"/>
      <c r="F9" s="66"/>
      <c r="G9" s="66"/>
      <c r="H9" s="66"/>
      <c r="I9" s="66"/>
      <c r="J9" s="66"/>
      <c r="K9" s="66"/>
      <c r="L9" s="66"/>
      <c r="M9" s="66"/>
      <c r="N9" s="66"/>
      <c r="O9" s="66"/>
      <c r="P9" s="66"/>
    </row>
    <row r="10" spans="1:17"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7"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7">
      <c r="A12" s="115">
        <v>1</v>
      </c>
      <c r="B12" s="115">
        <v>2</v>
      </c>
      <c r="C12" s="115">
        <v>3</v>
      </c>
      <c r="D12" s="115">
        <v>4</v>
      </c>
      <c r="E12" s="169">
        <v>5</v>
      </c>
      <c r="F12" s="115">
        <v>6</v>
      </c>
      <c r="G12" s="115">
        <v>7</v>
      </c>
      <c r="H12" s="115">
        <v>8</v>
      </c>
      <c r="I12" s="115">
        <v>9</v>
      </c>
      <c r="J12" s="115">
        <v>10</v>
      </c>
      <c r="K12" s="115">
        <v>11</v>
      </c>
      <c r="L12" s="115">
        <v>12</v>
      </c>
      <c r="M12" s="115">
        <v>13</v>
      </c>
      <c r="N12" s="115">
        <v>14</v>
      </c>
      <c r="O12" s="115">
        <v>15</v>
      </c>
      <c r="P12" s="115">
        <v>16</v>
      </c>
    </row>
    <row r="13" spans="1:17" s="68" customFormat="1" ht="15" customHeight="1">
      <c r="A13" s="500"/>
      <c r="B13" s="500"/>
      <c r="C13" s="371" t="s">
        <v>709</v>
      </c>
      <c r="D13" s="460"/>
      <c r="E13" s="545"/>
      <c r="F13" s="140"/>
      <c r="G13" s="140"/>
      <c r="H13" s="147"/>
      <c r="I13" s="147"/>
      <c r="J13" s="147"/>
      <c r="K13" s="141"/>
      <c r="L13" s="140"/>
      <c r="M13" s="141"/>
      <c r="N13" s="141"/>
      <c r="O13" s="141"/>
      <c r="P13" s="141"/>
      <c r="Q13" s="108"/>
    </row>
    <row r="14" spans="1:17" s="68" customFormat="1" ht="27" customHeight="1">
      <c r="A14" s="387">
        <v>1</v>
      </c>
      <c r="B14" s="387" t="s">
        <v>149</v>
      </c>
      <c r="C14" s="541" t="s">
        <v>710</v>
      </c>
      <c r="D14" s="486" t="s">
        <v>90</v>
      </c>
      <c r="E14" s="388">
        <v>1</v>
      </c>
      <c r="F14" s="267"/>
      <c r="G14" s="267"/>
      <c r="H14" s="268"/>
      <c r="I14" s="268"/>
      <c r="J14" s="268"/>
      <c r="K14" s="269"/>
      <c r="L14" s="267"/>
      <c r="M14" s="269"/>
      <c r="N14" s="269"/>
      <c r="O14" s="269"/>
      <c r="P14" s="269"/>
      <c r="Q14" s="108"/>
    </row>
    <row r="15" spans="1:17" s="68" customFormat="1" ht="27" customHeight="1">
      <c r="A15" s="378">
        <f>A14+1</f>
        <v>2</v>
      </c>
      <c r="B15" s="378" t="s">
        <v>149</v>
      </c>
      <c r="C15" s="542" t="s">
        <v>711</v>
      </c>
      <c r="D15" s="464" t="s">
        <v>90</v>
      </c>
      <c r="E15" s="379">
        <v>1</v>
      </c>
      <c r="F15" s="261"/>
      <c r="G15" s="261"/>
      <c r="H15" s="262"/>
      <c r="I15" s="262"/>
      <c r="J15" s="262"/>
      <c r="K15" s="263"/>
      <c r="L15" s="261"/>
      <c r="M15" s="263"/>
      <c r="N15" s="263"/>
      <c r="O15" s="263"/>
      <c r="P15" s="263"/>
      <c r="Q15" s="108"/>
    </row>
    <row r="16" spans="1:17" s="68" customFormat="1" ht="27" customHeight="1">
      <c r="A16" s="378">
        <f t="shared" ref="A16:A77" si="0">A15+1</f>
        <v>3</v>
      </c>
      <c r="B16" s="378" t="s">
        <v>149</v>
      </c>
      <c r="C16" s="542" t="s">
        <v>712</v>
      </c>
      <c r="D16" s="464" t="s">
        <v>90</v>
      </c>
      <c r="E16" s="379">
        <v>1</v>
      </c>
      <c r="F16" s="261"/>
      <c r="G16" s="261"/>
      <c r="H16" s="262"/>
      <c r="I16" s="262"/>
      <c r="J16" s="262"/>
      <c r="K16" s="263"/>
      <c r="L16" s="261"/>
      <c r="M16" s="263"/>
      <c r="N16" s="263"/>
      <c r="O16" s="263"/>
      <c r="P16" s="263"/>
      <c r="Q16" s="108"/>
    </row>
    <row r="17" spans="1:17" s="68" customFormat="1" ht="27" customHeight="1">
      <c r="A17" s="378">
        <f t="shared" si="0"/>
        <v>4</v>
      </c>
      <c r="B17" s="378" t="s">
        <v>149</v>
      </c>
      <c r="C17" s="542" t="s">
        <v>713</v>
      </c>
      <c r="D17" s="464" t="s">
        <v>90</v>
      </c>
      <c r="E17" s="379">
        <v>1</v>
      </c>
      <c r="F17" s="261"/>
      <c r="G17" s="261"/>
      <c r="H17" s="262"/>
      <c r="I17" s="262"/>
      <c r="J17" s="262"/>
      <c r="K17" s="263"/>
      <c r="L17" s="261"/>
      <c r="M17" s="263"/>
      <c r="N17" s="263"/>
      <c r="O17" s="263"/>
      <c r="P17" s="263"/>
      <c r="Q17" s="108"/>
    </row>
    <row r="18" spans="1:17" s="68" customFormat="1" ht="27" customHeight="1">
      <c r="A18" s="378">
        <f t="shared" si="0"/>
        <v>5</v>
      </c>
      <c r="B18" s="378" t="s">
        <v>149</v>
      </c>
      <c r="C18" s="542" t="s">
        <v>714</v>
      </c>
      <c r="D18" s="464" t="s">
        <v>90</v>
      </c>
      <c r="E18" s="379">
        <v>1</v>
      </c>
      <c r="F18" s="261"/>
      <c r="G18" s="261"/>
      <c r="H18" s="262"/>
      <c r="I18" s="262"/>
      <c r="J18" s="262"/>
      <c r="K18" s="263"/>
      <c r="L18" s="261"/>
      <c r="M18" s="263"/>
      <c r="N18" s="263"/>
      <c r="O18" s="263"/>
      <c r="P18" s="263"/>
      <c r="Q18" s="108"/>
    </row>
    <row r="19" spans="1:17" s="68" customFormat="1" ht="27" customHeight="1">
      <c r="A19" s="378">
        <f t="shared" si="0"/>
        <v>6</v>
      </c>
      <c r="B19" s="378" t="s">
        <v>149</v>
      </c>
      <c r="C19" s="542" t="s">
        <v>715</v>
      </c>
      <c r="D19" s="464" t="s">
        <v>90</v>
      </c>
      <c r="E19" s="379">
        <v>1</v>
      </c>
      <c r="F19" s="261"/>
      <c r="G19" s="261"/>
      <c r="H19" s="262"/>
      <c r="I19" s="262"/>
      <c r="J19" s="262"/>
      <c r="K19" s="263"/>
      <c r="L19" s="261"/>
      <c r="M19" s="263"/>
      <c r="N19" s="263"/>
      <c r="O19" s="263"/>
      <c r="P19" s="263"/>
      <c r="Q19" s="108"/>
    </row>
    <row r="20" spans="1:17" s="68" customFormat="1" ht="27" customHeight="1">
      <c r="A20" s="378">
        <f t="shared" si="0"/>
        <v>7</v>
      </c>
      <c r="B20" s="378" t="s">
        <v>149</v>
      </c>
      <c r="C20" s="542" t="s">
        <v>716</v>
      </c>
      <c r="D20" s="464" t="s">
        <v>90</v>
      </c>
      <c r="E20" s="379">
        <v>1</v>
      </c>
      <c r="F20" s="261"/>
      <c r="G20" s="261"/>
      <c r="H20" s="262"/>
      <c r="I20" s="262"/>
      <c r="J20" s="262"/>
      <c r="K20" s="263"/>
      <c r="L20" s="261"/>
      <c r="M20" s="263"/>
      <c r="N20" s="263"/>
      <c r="O20" s="263"/>
      <c r="P20" s="263"/>
      <c r="Q20" s="108"/>
    </row>
    <row r="21" spans="1:17" s="68" customFormat="1" ht="27" customHeight="1">
      <c r="A21" s="378">
        <f t="shared" si="0"/>
        <v>8</v>
      </c>
      <c r="B21" s="378" t="s">
        <v>149</v>
      </c>
      <c r="C21" s="542" t="s">
        <v>717</v>
      </c>
      <c r="D21" s="464" t="s">
        <v>90</v>
      </c>
      <c r="E21" s="379">
        <v>1</v>
      </c>
      <c r="F21" s="261"/>
      <c r="G21" s="261"/>
      <c r="H21" s="262"/>
      <c r="I21" s="262"/>
      <c r="J21" s="262"/>
      <c r="K21" s="263"/>
      <c r="L21" s="261"/>
      <c r="M21" s="263"/>
      <c r="N21" s="263"/>
      <c r="O21" s="263"/>
      <c r="P21" s="263"/>
      <c r="Q21" s="108"/>
    </row>
    <row r="22" spans="1:17" s="68" customFormat="1" ht="27" customHeight="1">
      <c r="A22" s="378">
        <f t="shared" si="0"/>
        <v>9</v>
      </c>
      <c r="B22" s="378" t="s">
        <v>149</v>
      </c>
      <c r="C22" s="542" t="s">
        <v>718</v>
      </c>
      <c r="D22" s="464" t="s">
        <v>90</v>
      </c>
      <c r="E22" s="379">
        <v>1</v>
      </c>
      <c r="F22" s="261"/>
      <c r="G22" s="261"/>
      <c r="H22" s="262"/>
      <c r="I22" s="262"/>
      <c r="J22" s="262"/>
      <c r="K22" s="263"/>
      <c r="L22" s="261"/>
      <c r="M22" s="263"/>
      <c r="N22" s="263"/>
      <c r="O22" s="263"/>
      <c r="P22" s="263"/>
      <c r="Q22" s="108"/>
    </row>
    <row r="23" spans="1:17" s="68" customFormat="1" ht="27" customHeight="1">
      <c r="A23" s="378">
        <f t="shared" si="0"/>
        <v>10</v>
      </c>
      <c r="B23" s="378" t="s">
        <v>149</v>
      </c>
      <c r="C23" s="542" t="s">
        <v>719</v>
      </c>
      <c r="D23" s="464" t="s">
        <v>90</v>
      </c>
      <c r="E23" s="379">
        <v>1</v>
      </c>
      <c r="F23" s="261"/>
      <c r="G23" s="261"/>
      <c r="H23" s="262"/>
      <c r="I23" s="262"/>
      <c r="J23" s="262"/>
      <c r="K23" s="263"/>
      <c r="L23" s="261"/>
      <c r="M23" s="263"/>
      <c r="N23" s="263"/>
      <c r="O23" s="263"/>
      <c r="P23" s="263"/>
      <c r="Q23" s="108"/>
    </row>
    <row r="24" spans="1:17" s="68" customFormat="1" ht="24">
      <c r="A24" s="378">
        <f t="shared" si="0"/>
        <v>11</v>
      </c>
      <c r="B24" s="378" t="s">
        <v>149</v>
      </c>
      <c r="C24" s="542" t="s">
        <v>720</v>
      </c>
      <c r="D24" s="464" t="s">
        <v>90</v>
      </c>
      <c r="E24" s="379">
        <v>1</v>
      </c>
      <c r="F24" s="261"/>
      <c r="G24" s="261"/>
      <c r="H24" s="262"/>
      <c r="I24" s="262"/>
      <c r="J24" s="262"/>
      <c r="K24" s="263"/>
      <c r="L24" s="261"/>
      <c r="M24" s="263"/>
      <c r="N24" s="263"/>
      <c r="O24" s="263"/>
      <c r="P24" s="263"/>
      <c r="Q24" s="108"/>
    </row>
    <row r="25" spans="1:17" s="68" customFormat="1" ht="27" customHeight="1">
      <c r="A25" s="378">
        <f t="shared" si="0"/>
        <v>12</v>
      </c>
      <c r="B25" s="378" t="s">
        <v>149</v>
      </c>
      <c r="C25" s="542" t="s">
        <v>721</v>
      </c>
      <c r="D25" s="464" t="s">
        <v>90</v>
      </c>
      <c r="E25" s="379">
        <v>1</v>
      </c>
      <c r="F25" s="261"/>
      <c r="G25" s="261"/>
      <c r="H25" s="262"/>
      <c r="I25" s="262"/>
      <c r="J25" s="262"/>
      <c r="K25" s="263"/>
      <c r="L25" s="261"/>
      <c r="M25" s="263"/>
      <c r="N25" s="263"/>
      <c r="O25" s="263"/>
      <c r="P25" s="263"/>
      <c r="Q25" s="108"/>
    </row>
    <row r="26" spans="1:17" s="68" customFormat="1" ht="27" customHeight="1">
      <c r="A26" s="378">
        <f t="shared" si="0"/>
        <v>13</v>
      </c>
      <c r="B26" s="378" t="s">
        <v>149</v>
      </c>
      <c r="C26" s="542" t="s">
        <v>722</v>
      </c>
      <c r="D26" s="464" t="s">
        <v>90</v>
      </c>
      <c r="E26" s="379">
        <v>1</v>
      </c>
      <c r="F26" s="261"/>
      <c r="G26" s="261"/>
      <c r="H26" s="262"/>
      <c r="I26" s="262"/>
      <c r="J26" s="262"/>
      <c r="K26" s="263"/>
      <c r="L26" s="261"/>
      <c r="M26" s="263"/>
      <c r="N26" s="263"/>
      <c r="O26" s="263"/>
      <c r="P26" s="263"/>
      <c r="Q26" s="108"/>
    </row>
    <row r="27" spans="1:17" s="68" customFormat="1" ht="27" customHeight="1">
      <c r="A27" s="378">
        <f t="shared" si="0"/>
        <v>14</v>
      </c>
      <c r="B27" s="378" t="s">
        <v>149</v>
      </c>
      <c r="C27" s="542" t="s">
        <v>723</v>
      </c>
      <c r="D27" s="464" t="s">
        <v>90</v>
      </c>
      <c r="E27" s="379">
        <v>1</v>
      </c>
      <c r="F27" s="261"/>
      <c r="G27" s="261"/>
      <c r="H27" s="262"/>
      <c r="I27" s="262"/>
      <c r="J27" s="262"/>
      <c r="K27" s="263"/>
      <c r="L27" s="261"/>
      <c r="M27" s="263"/>
      <c r="N27" s="263"/>
      <c r="O27" s="263"/>
      <c r="P27" s="263"/>
      <c r="Q27" s="108"/>
    </row>
    <row r="28" spans="1:17" s="68" customFormat="1" ht="15" customHeight="1">
      <c r="A28" s="378">
        <f t="shared" si="0"/>
        <v>15</v>
      </c>
      <c r="B28" s="378" t="s">
        <v>149</v>
      </c>
      <c r="C28" s="542" t="s">
        <v>724</v>
      </c>
      <c r="D28" s="464" t="s">
        <v>90</v>
      </c>
      <c r="E28" s="379">
        <v>1</v>
      </c>
      <c r="F28" s="261"/>
      <c r="G28" s="261"/>
      <c r="H28" s="262"/>
      <c r="I28" s="262"/>
      <c r="J28" s="262"/>
      <c r="K28" s="263"/>
      <c r="L28" s="261"/>
      <c r="M28" s="263"/>
      <c r="N28" s="263"/>
      <c r="O28" s="263"/>
      <c r="P28" s="263"/>
      <c r="Q28" s="108"/>
    </row>
    <row r="29" spans="1:17" s="68" customFormat="1" ht="15" customHeight="1">
      <c r="A29" s="378">
        <f t="shared" si="0"/>
        <v>16</v>
      </c>
      <c r="B29" s="382" t="s">
        <v>149</v>
      </c>
      <c r="C29" s="543" t="s">
        <v>725</v>
      </c>
      <c r="D29" s="492" t="s">
        <v>90</v>
      </c>
      <c r="E29" s="383">
        <v>1</v>
      </c>
      <c r="F29" s="270"/>
      <c r="G29" s="270"/>
      <c r="H29" s="271"/>
      <c r="I29" s="271"/>
      <c r="J29" s="271"/>
      <c r="K29" s="272"/>
      <c r="L29" s="270"/>
      <c r="M29" s="272"/>
      <c r="N29" s="272"/>
      <c r="O29" s="272"/>
      <c r="P29" s="272"/>
      <c r="Q29" s="108"/>
    </row>
    <row r="30" spans="1:17" s="68" customFormat="1" ht="15" customHeight="1">
      <c r="A30" s="500"/>
      <c r="B30" s="500"/>
      <c r="C30" s="371" t="s">
        <v>726</v>
      </c>
      <c r="D30" s="460"/>
      <c r="E30" s="545"/>
      <c r="F30" s="140"/>
      <c r="G30" s="140"/>
      <c r="H30" s="147"/>
      <c r="I30" s="147"/>
      <c r="J30" s="147"/>
      <c r="K30" s="141"/>
      <c r="L30" s="140"/>
      <c r="M30" s="141"/>
      <c r="N30" s="141"/>
      <c r="O30" s="141"/>
      <c r="P30" s="141"/>
      <c r="Q30" s="108"/>
    </row>
    <row r="31" spans="1:17" s="68" customFormat="1" ht="15" customHeight="1">
      <c r="A31" s="378">
        <f>A29+1</f>
        <v>17</v>
      </c>
      <c r="B31" s="387" t="s">
        <v>149</v>
      </c>
      <c r="C31" s="541" t="s">
        <v>727</v>
      </c>
      <c r="D31" s="486" t="s">
        <v>728</v>
      </c>
      <c r="E31" s="388">
        <v>15</v>
      </c>
      <c r="F31" s="267"/>
      <c r="G31" s="267"/>
      <c r="H31" s="268"/>
      <c r="I31" s="268"/>
      <c r="J31" s="268"/>
      <c r="K31" s="269"/>
      <c r="L31" s="267"/>
      <c r="M31" s="269"/>
      <c r="N31" s="269"/>
      <c r="O31" s="269"/>
      <c r="P31" s="269"/>
      <c r="Q31" s="108"/>
    </row>
    <row r="32" spans="1:17" s="68" customFormat="1" ht="15" customHeight="1">
      <c r="A32" s="378">
        <f t="shared" si="0"/>
        <v>18</v>
      </c>
      <c r="B32" s="378" t="s">
        <v>149</v>
      </c>
      <c r="C32" s="542" t="s">
        <v>729</v>
      </c>
      <c r="D32" s="464" t="s">
        <v>728</v>
      </c>
      <c r="E32" s="379">
        <v>520</v>
      </c>
      <c r="F32" s="261"/>
      <c r="G32" s="261"/>
      <c r="H32" s="262"/>
      <c r="I32" s="262"/>
      <c r="J32" s="262"/>
      <c r="K32" s="263"/>
      <c r="L32" s="261"/>
      <c r="M32" s="263"/>
      <c r="N32" s="263"/>
      <c r="O32" s="263"/>
      <c r="P32" s="263"/>
      <c r="Q32" s="108"/>
    </row>
    <row r="33" spans="1:17" s="68" customFormat="1" ht="15" customHeight="1">
      <c r="A33" s="378">
        <f t="shared" si="0"/>
        <v>19</v>
      </c>
      <c r="B33" s="378" t="s">
        <v>149</v>
      </c>
      <c r="C33" s="542" t="s">
        <v>730</v>
      </c>
      <c r="D33" s="464" t="s">
        <v>728</v>
      </c>
      <c r="E33" s="379">
        <v>100</v>
      </c>
      <c r="F33" s="261"/>
      <c r="G33" s="261"/>
      <c r="H33" s="262"/>
      <c r="I33" s="262"/>
      <c r="J33" s="262"/>
      <c r="K33" s="263"/>
      <c r="L33" s="261"/>
      <c r="M33" s="263"/>
      <c r="N33" s="263"/>
      <c r="O33" s="263"/>
      <c r="P33" s="263"/>
      <c r="Q33" s="108"/>
    </row>
    <row r="34" spans="1:17" s="68" customFormat="1" ht="15" customHeight="1">
      <c r="A34" s="378">
        <f t="shared" si="0"/>
        <v>20</v>
      </c>
      <c r="B34" s="378" t="s">
        <v>149</v>
      </c>
      <c r="C34" s="542" t="s">
        <v>731</v>
      </c>
      <c r="D34" s="464" t="s">
        <v>728</v>
      </c>
      <c r="E34" s="379">
        <v>40</v>
      </c>
      <c r="F34" s="261"/>
      <c r="G34" s="261"/>
      <c r="H34" s="262"/>
      <c r="I34" s="262"/>
      <c r="J34" s="262"/>
      <c r="K34" s="263"/>
      <c r="L34" s="261"/>
      <c r="M34" s="263"/>
      <c r="N34" s="263"/>
      <c r="O34" s="263"/>
      <c r="P34" s="263"/>
      <c r="Q34" s="108"/>
    </row>
    <row r="35" spans="1:17" s="68" customFormat="1" ht="15" customHeight="1">
      <c r="A35" s="378">
        <f t="shared" si="0"/>
        <v>21</v>
      </c>
      <c r="B35" s="378" t="s">
        <v>149</v>
      </c>
      <c r="C35" s="542" t="s">
        <v>732</v>
      </c>
      <c r="D35" s="464" t="s">
        <v>728</v>
      </c>
      <c r="E35" s="379">
        <v>70</v>
      </c>
      <c r="F35" s="261"/>
      <c r="G35" s="261"/>
      <c r="H35" s="262"/>
      <c r="I35" s="262"/>
      <c r="J35" s="262"/>
      <c r="K35" s="263"/>
      <c r="L35" s="261"/>
      <c r="M35" s="263"/>
      <c r="N35" s="263"/>
      <c r="O35" s="263"/>
      <c r="P35" s="263"/>
      <c r="Q35" s="108"/>
    </row>
    <row r="36" spans="1:17" s="68" customFormat="1" ht="15" customHeight="1">
      <c r="A36" s="378">
        <f t="shared" si="0"/>
        <v>22</v>
      </c>
      <c r="B36" s="378" t="s">
        <v>149</v>
      </c>
      <c r="C36" s="542" t="s">
        <v>733</v>
      </c>
      <c r="D36" s="464" t="s">
        <v>728</v>
      </c>
      <c r="E36" s="379">
        <v>9300</v>
      </c>
      <c r="F36" s="261"/>
      <c r="G36" s="261"/>
      <c r="H36" s="262"/>
      <c r="I36" s="262"/>
      <c r="J36" s="262"/>
      <c r="K36" s="263"/>
      <c r="L36" s="261"/>
      <c r="M36" s="263"/>
      <c r="N36" s="263"/>
      <c r="O36" s="263"/>
      <c r="P36" s="263"/>
      <c r="Q36" s="108"/>
    </row>
    <row r="37" spans="1:17" s="68" customFormat="1" ht="15" customHeight="1">
      <c r="A37" s="378">
        <f t="shared" si="0"/>
        <v>23</v>
      </c>
      <c r="B37" s="378" t="s">
        <v>149</v>
      </c>
      <c r="C37" s="542" t="s">
        <v>734</v>
      </c>
      <c r="D37" s="464" t="s">
        <v>728</v>
      </c>
      <c r="E37" s="379">
        <v>120</v>
      </c>
      <c r="F37" s="261"/>
      <c r="G37" s="261"/>
      <c r="H37" s="262"/>
      <c r="I37" s="262"/>
      <c r="J37" s="262"/>
      <c r="K37" s="263"/>
      <c r="L37" s="261"/>
      <c r="M37" s="263"/>
      <c r="N37" s="263"/>
      <c r="O37" s="263"/>
      <c r="P37" s="263"/>
      <c r="Q37" s="108"/>
    </row>
    <row r="38" spans="1:17" s="68" customFormat="1" ht="15" customHeight="1">
      <c r="A38" s="378">
        <f t="shared" si="0"/>
        <v>24</v>
      </c>
      <c r="B38" s="378" t="s">
        <v>149</v>
      </c>
      <c r="C38" s="542" t="s">
        <v>735</v>
      </c>
      <c r="D38" s="464" t="s">
        <v>728</v>
      </c>
      <c r="E38" s="379">
        <v>1000</v>
      </c>
      <c r="F38" s="261"/>
      <c r="G38" s="261"/>
      <c r="H38" s="262"/>
      <c r="I38" s="262"/>
      <c r="J38" s="262"/>
      <c r="K38" s="263"/>
      <c r="L38" s="261"/>
      <c r="M38" s="263"/>
      <c r="N38" s="263"/>
      <c r="O38" s="263"/>
      <c r="P38" s="263"/>
      <c r="Q38" s="108"/>
    </row>
    <row r="39" spans="1:17" s="68" customFormat="1" ht="15" customHeight="1">
      <c r="A39" s="378">
        <f t="shared" si="0"/>
        <v>25</v>
      </c>
      <c r="B39" s="378" t="s">
        <v>149</v>
      </c>
      <c r="C39" s="542" t="s">
        <v>736</v>
      </c>
      <c r="D39" s="464" t="s">
        <v>728</v>
      </c>
      <c r="E39" s="379">
        <v>8800</v>
      </c>
      <c r="F39" s="261"/>
      <c r="G39" s="261"/>
      <c r="H39" s="262"/>
      <c r="I39" s="262"/>
      <c r="J39" s="262"/>
      <c r="K39" s="263"/>
      <c r="L39" s="261"/>
      <c r="M39" s="263"/>
      <c r="N39" s="263"/>
      <c r="O39" s="263"/>
      <c r="P39" s="263"/>
      <c r="Q39" s="108"/>
    </row>
    <row r="40" spans="1:17" s="68" customFormat="1" ht="15" customHeight="1">
      <c r="A40" s="378">
        <f t="shared" si="0"/>
        <v>26</v>
      </c>
      <c r="B40" s="378" t="s">
        <v>149</v>
      </c>
      <c r="C40" s="542" t="s">
        <v>737</v>
      </c>
      <c r="D40" s="464" t="s">
        <v>728</v>
      </c>
      <c r="E40" s="379">
        <v>55</v>
      </c>
      <c r="F40" s="261"/>
      <c r="G40" s="261"/>
      <c r="H40" s="262"/>
      <c r="I40" s="262"/>
      <c r="J40" s="262"/>
      <c r="K40" s="263"/>
      <c r="L40" s="261"/>
      <c r="M40" s="263"/>
      <c r="N40" s="263"/>
      <c r="O40" s="263"/>
      <c r="P40" s="263"/>
      <c r="Q40" s="108"/>
    </row>
    <row r="41" spans="1:17" s="68" customFormat="1" ht="15" customHeight="1">
      <c r="A41" s="378">
        <f t="shared" si="0"/>
        <v>27</v>
      </c>
      <c r="B41" s="378" t="s">
        <v>149</v>
      </c>
      <c r="C41" s="542" t="s">
        <v>738</v>
      </c>
      <c r="D41" s="464" t="s">
        <v>728</v>
      </c>
      <c r="E41" s="379">
        <v>65</v>
      </c>
      <c r="F41" s="261"/>
      <c r="G41" s="261"/>
      <c r="H41" s="262"/>
      <c r="I41" s="262"/>
      <c r="J41" s="262"/>
      <c r="K41" s="263"/>
      <c r="L41" s="261"/>
      <c r="M41" s="263"/>
      <c r="N41" s="263"/>
      <c r="O41" s="263"/>
      <c r="P41" s="263"/>
      <c r="Q41" s="108"/>
    </row>
    <row r="42" spans="1:17" s="68" customFormat="1" ht="15" customHeight="1">
      <c r="A42" s="378">
        <f t="shared" si="0"/>
        <v>28</v>
      </c>
      <c r="B42" s="378" t="s">
        <v>149</v>
      </c>
      <c r="C42" s="542" t="s">
        <v>739</v>
      </c>
      <c r="D42" s="464" t="s">
        <v>728</v>
      </c>
      <c r="E42" s="379">
        <v>140</v>
      </c>
      <c r="F42" s="261"/>
      <c r="G42" s="261"/>
      <c r="H42" s="262"/>
      <c r="I42" s="262"/>
      <c r="J42" s="262"/>
      <c r="K42" s="263"/>
      <c r="L42" s="261"/>
      <c r="M42" s="263"/>
      <c r="N42" s="263"/>
      <c r="O42" s="263"/>
      <c r="P42" s="263"/>
      <c r="Q42" s="108"/>
    </row>
    <row r="43" spans="1:17" s="68" customFormat="1" ht="15" customHeight="1">
      <c r="A43" s="378">
        <f t="shared" si="0"/>
        <v>29</v>
      </c>
      <c r="B43" s="378" t="s">
        <v>149</v>
      </c>
      <c r="C43" s="542" t="s">
        <v>740</v>
      </c>
      <c r="D43" s="464" t="s">
        <v>728</v>
      </c>
      <c r="E43" s="379">
        <v>740</v>
      </c>
      <c r="F43" s="261"/>
      <c r="G43" s="261"/>
      <c r="H43" s="262"/>
      <c r="I43" s="262"/>
      <c r="J43" s="262"/>
      <c r="K43" s="263"/>
      <c r="L43" s="261"/>
      <c r="M43" s="263"/>
      <c r="N43" s="263"/>
      <c r="O43" s="263"/>
      <c r="P43" s="263"/>
      <c r="Q43" s="108"/>
    </row>
    <row r="44" spans="1:17" s="68" customFormat="1" ht="15" customHeight="1">
      <c r="A44" s="378">
        <f t="shared" si="0"/>
        <v>30</v>
      </c>
      <c r="B44" s="378" t="s">
        <v>149</v>
      </c>
      <c r="C44" s="542" t="s">
        <v>741</v>
      </c>
      <c r="D44" s="464" t="s">
        <v>728</v>
      </c>
      <c r="E44" s="379">
        <v>80</v>
      </c>
      <c r="F44" s="261"/>
      <c r="G44" s="261"/>
      <c r="H44" s="262"/>
      <c r="I44" s="262"/>
      <c r="J44" s="262"/>
      <c r="K44" s="263"/>
      <c r="L44" s="261"/>
      <c r="M44" s="263"/>
      <c r="N44" s="263"/>
      <c r="O44" s="263"/>
      <c r="P44" s="263"/>
      <c r="Q44" s="108"/>
    </row>
    <row r="45" spans="1:17" s="68" customFormat="1" ht="15" customHeight="1">
      <c r="A45" s="378">
        <f t="shared" si="0"/>
        <v>31</v>
      </c>
      <c r="B45" s="378" t="s">
        <v>149</v>
      </c>
      <c r="C45" s="542" t="s">
        <v>742</v>
      </c>
      <c r="D45" s="464" t="s">
        <v>728</v>
      </c>
      <c r="E45" s="379">
        <v>70</v>
      </c>
      <c r="F45" s="261"/>
      <c r="G45" s="261"/>
      <c r="H45" s="262"/>
      <c r="I45" s="262"/>
      <c r="J45" s="262"/>
      <c r="K45" s="263"/>
      <c r="L45" s="261"/>
      <c r="M45" s="263"/>
      <c r="N45" s="263"/>
      <c r="O45" s="263"/>
      <c r="P45" s="263"/>
      <c r="Q45" s="108"/>
    </row>
    <row r="46" spans="1:17" s="68" customFormat="1" ht="15" customHeight="1">
      <c r="A46" s="378">
        <f t="shared" si="0"/>
        <v>32</v>
      </c>
      <c r="B46" s="378" t="s">
        <v>149</v>
      </c>
      <c r="C46" s="542" t="s">
        <v>743</v>
      </c>
      <c r="D46" s="464" t="s">
        <v>728</v>
      </c>
      <c r="E46" s="379">
        <v>200</v>
      </c>
      <c r="F46" s="261"/>
      <c r="G46" s="261"/>
      <c r="H46" s="262"/>
      <c r="I46" s="262"/>
      <c r="J46" s="262"/>
      <c r="K46" s="263"/>
      <c r="L46" s="261"/>
      <c r="M46" s="263"/>
      <c r="N46" s="263"/>
      <c r="O46" s="263"/>
      <c r="P46" s="263"/>
      <c r="Q46" s="108"/>
    </row>
    <row r="47" spans="1:17" s="68" customFormat="1" ht="15" customHeight="1">
      <c r="A47" s="378">
        <f t="shared" si="0"/>
        <v>33</v>
      </c>
      <c r="B47" s="378" t="s">
        <v>149</v>
      </c>
      <c r="C47" s="542" t="s">
        <v>744</v>
      </c>
      <c r="D47" s="464" t="s">
        <v>728</v>
      </c>
      <c r="E47" s="379">
        <v>15</v>
      </c>
      <c r="F47" s="261"/>
      <c r="G47" s="261"/>
      <c r="H47" s="262"/>
      <c r="I47" s="262"/>
      <c r="J47" s="262"/>
      <c r="K47" s="263"/>
      <c r="L47" s="261"/>
      <c r="M47" s="263"/>
      <c r="N47" s="263"/>
      <c r="O47" s="263"/>
      <c r="P47" s="263"/>
      <c r="Q47" s="108"/>
    </row>
    <row r="48" spans="1:17" s="68" customFormat="1" ht="15" customHeight="1">
      <c r="A48" s="378">
        <f t="shared" si="0"/>
        <v>34</v>
      </c>
      <c r="B48" s="378" t="s">
        <v>149</v>
      </c>
      <c r="C48" s="542" t="s">
        <v>745</v>
      </c>
      <c r="D48" s="464" t="s">
        <v>728</v>
      </c>
      <c r="E48" s="379">
        <v>15</v>
      </c>
      <c r="F48" s="261"/>
      <c r="G48" s="261"/>
      <c r="H48" s="262"/>
      <c r="I48" s="262"/>
      <c r="J48" s="262"/>
      <c r="K48" s="263"/>
      <c r="L48" s="261"/>
      <c r="M48" s="263"/>
      <c r="N48" s="263"/>
      <c r="O48" s="263"/>
      <c r="P48" s="263"/>
      <c r="Q48" s="108"/>
    </row>
    <row r="49" spans="1:17" s="68" customFormat="1" ht="15" customHeight="1">
      <c r="A49" s="378">
        <f t="shared" si="0"/>
        <v>35</v>
      </c>
      <c r="B49" s="378" t="s">
        <v>149</v>
      </c>
      <c r="C49" s="542" t="s">
        <v>746</v>
      </c>
      <c r="D49" s="464" t="s">
        <v>728</v>
      </c>
      <c r="E49" s="379">
        <v>30</v>
      </c>
      <c r="F49" s="261"/>
      <c r="G49" s="261"/>
      <c r="H49" s="262"/>
      <c r="I49" s="262"/>
      <c r="J49" s="262"/>
      <c r="K49" s="263"/>
      <c r="L49" s="261"/>
      <c r="M49" s="263"/>
      <c r="N49" s="263"/>
      <c r="O49" s="263"/>
      <c r="P49" s="263"/>
      <c r="Q49" s="108"/>
    </row>
    <row r="50" spans="1:17" s="68" customFormat="1" ht="15" customHeight="1">
      <c r="A50" s="378">
        <f t="shared" si="0"/>
        <v>36</v>
      </c>
      <c r="B50" s="378" t="s">
        <v>149</v>
      </c>
      <c r="C50" s="542" t="s">
        <v>747</v>
      </c>
      <c r="D50" s="464" t="s">
        <v>728</v>
      </c>
      <c r="E50" s="379">
        <v>25</v>
      </c>
      <c r="F50" s="261"/>
      <c r="G50" s="261"/>
      <c r="H50" s="262"/>
      <c r="I50" s="262"/>
      <c r="J50" s="262"/>
      <c r="K50" s="263"/>
      <c r="L50" s="261"/>
      <c r="M50" s="263"/>
      <c r="N50" s="263"/>
      <c r="O50" s="263"/>
      <c r="P50" s="263"/>
      <c r="Q50" s="108"/>
    </row>
    <row r="51" spans="1:17" s="68" customFormat="1" ht="15" customHeight="1">
      <c r="A51" s="378">
        <f t="shared" si="0"/>
        <v>37</v>
      </c>
      <c r="B51" s="378" t="s">
        <v>149</v>
      </c>
      <c r="C51" s="542" t="s">
        <v>748</v>
      </c>
      <c r="D51" s="464" t="s">
        <v>728</v>
      </c>
      <c r="E51" s="379">
        <v>55</v>
      </c>
      <c r="F51" s="261"/>
      <c r="G51" s="261"/>
      <c r="H51" s="262"/>
      <c r="I51" s="262"/>
      <c r="J51" s="262"/>
      <c r="K51" s="263"/>
      <c r="L51" s="261"/>
      <c r="M51" s="263"/>
      <c r="N51" s="263"/>
      <c r="O51" s="263"/>
      <c r="P51" s="263"/>
      <c r="Q51" s="108"/>
    </row>
    <row r="52" spans="1:17" s="68" customFormat="1" ht="15" customHeight="1">
      <c r="A52" s="378">
        <f t="shared" si="0"/>
        <v>38</v>
      </c>
      <c r="B52" s="378" t="s">
        <v>149</v>
      </c>
      <c r="C52" s="542" t="s">
        <v>749</v>
      </c>
      <c r="D52" s="464" t="s">
        <v>728</v>
      </c>
      <c r="E52" s="379">
        <v>100</v>
      </c>
      <c r="F52" s="261"/>
      <c r="G52" s="261"/>
      <c r="H52" s="262"/>
      <c r="I52" s="262"/>
      <c r="J52" s="262"/>
      <c r="K52" s="263"/>
      <c r="L52" s="261"/>
      <c r="M52" s="263"/>
      <c r="N52" s="263"/>
      <c r="O52" s="263"/>
      <c r="P52" s="263"/>
      <c r="Q52" s="108"/>
    </row>
    <row r="53" spans="1:17" s="68" customFormat="1" ht="15" customHeight="1">
      <c r="A53" s="378">
        <f t="shared" si="0"/>
        <v>39</v>
      </c>
      <c r="B53" s="378" t="s">
        <v>149</v>
      </c>
      <c r="C53" s="542" t="s">
        <v>750</v>
      </c>
      <c r="D53" s="464" t="s">
        <v>728</v>
      </c>
      <c r="E53" s="379">
        <v>25</v>
      </c>
      <c r="F53" s="261"/>
      <c r="G53" s="261"/>
      <c r="H53" s="262"/>
      <c r="I53" s="262"/>
      <c r="J53" s="262"/>
      <c r="K53" s="263"/>
      <c r="L53" s="261"/>
      <c r="M53" s="263"/>
      <c r="N53" s="263"/>
      <c r="O53" s="263"/>
      <c r="P53" s="263"/>
      <c r="Q53" s="108"/>
    </row>
    <row r="54" spans="1:17" s="68" customFormat="1" ht="15" customHeight="1">
      <c r="A54" s="378">
        <f t="shared" si="0"/>
        <v>40</v>
      </c>
      <c r="B54" s="378" t="s">
        <v>149</v>
      </c>
      <c r="C54" s="542" t="s">
        <v>751</v>
      </c>
      <c r="D54" s="464" t="s">
        <v>728</v>
      </c>
      <c r="E54" s="379">
        <v>80</v>
      </c>
      <c r="F54" s="261"/>
      <c r="G54" s="261"/>
      <c r="H54" s="262"/>
      <c r="I54" s="262"/>
      <c r="J54" s="262"/>
      <c r="K54" s="263"/>
      <c r="L54" s="261"/>
      <c r="M54" s="263"/>
      <c r="N54" s="263"/>
      <c r="O54" s="263"/>
      <c r="P54" s="263"/>
      <c r="Q54" s="108"/>
    </row>
    <row r="55" spans="1:17" s="68" customFormat="1" ht="15" customHeight="1">
      <c r="A55" s="378">
        <f t="shared" si="0"/>
        <v>41</v>
      </c>
      <c r="B55" s="378" t="s">
        <v>149</v>
      </c>
      <c r="C55" s="542" t="s">
        <v>752</v>
      </c>
      <c r="D55" s="464" t="s">
        <v>728</v>
      </c>
      <c r="E55" s="379">
        <v>282</v>
      </c>
      <c r="F55" s="261"/>
      <c r="G55" s="261"/>
      <c r="H55" s="262"/>
      <c r="I55" s="262"/>
      <c r="J55" s="262"/>
      <c r="K55" s="263"/>
      <c r="L55" s="261"/>
      <c r="M55" s="263"/>
      <c r="N55" s="263"/>
      <c r="O55" s="263"/>
      <c r="P55" s="263"/>
      <c r="Q55" s="108"/>
    </row>
    <row r="56" spans="1:17" s="68" customFormat="1" ht="15" customHeight="1">
      <c r="A56" s="378">
        <f t="shared" si="0"/>
        <v>42</v>
      </c>
      <c r="B56" s="378" t="s">
        <v>149</v>
      </c>
      <c r="C56" s="542" t="s">
        <v>753</v>
      </c>
      <c r="D56" s="464" t="s">
        <v>728</v>
      </c>
      <c r="E56" s="379">
        <v>1000</v>
      </c>
      <c r="F56" s="261"/>
      <c r="G56" s="261"/>
      <c r="H56" s="262"/>
      <c r="I56" s="262"/>
      <c r="J56" s="262"/>
      <c r="K56" s="263"/>
      <c r="L56" s="261"/>
      <c r="M56" s="263"/>
      <c r="N56" s="263"/>
      <c r="O56" s="263"/>
      <c r="P56" s="263"/>
      <c r="Q56" s="108"/>
    </row>
    <row r="57" spans="1:17" s="68" customFormat="1" ht="15" customHeight="1">
      <c r="A57" s="378">
        <f t="shared" si="0"/>
        <v>43</v>
      </c>
      <c r="B57" s="378" t="s">
        <v>149</v>
      </c>
      <c r="C57" s="542" t="s">
        <v>754</v>
      </c>
      <c r="D57" s="464" t="s">
        <v>728</v>
      </c>
      <c r="E57" s="379">
        <v>2000</v>
      </c>
      <c r="F57" s="261"/>
      <c r="G57" s="261"/>
      <c r="H57" s="262"/>
      <c r="I57" s="262"/>
      <c r="J57" s="262"/>
      <c r="K57" s="263"/>
      <c r="L57" s="261"/>
      <c r="M57" s="263"/>
      <c r="N57" s="263"/>
      <c r="O57" s="263"/>
      <c r="P57" s="263"/>
      <c r="Q57" s="108"/>
    </row>
    <row r="58" spans="1:17" s="68" customFormat="1" ht="15" customHeight="1">
      <c r="A58" s="378">
        <f t="shared" si="0"/>
        <v>44</v>
      </c>
      <c r="B58" s="378" t="s">
        <v>149</v>
      </c>
      <c r="C58" s="542" t="s">
        <v>755</v>
      </c>
      <c r="D58" s="464" t="s">
        <v>728</v>
      </c>
      <c r="E58" s="379">
        <v>2000</v>
      </c>
      <c r="F58" s="261"/>
      <c r="G58" s="261"/>
      <c r="H58" s="262"/>
      <c r="I58" s="262"/>
      <c r="J58" s="262"/>
      <c r="K58" s="263"/>
      <c r="L58" s="261"/>
      <c r="M58" s="263"/>
      <c r="N58" s="263"/>
      <c r="O58" s="263"/>
      <c r="P58" s="263"/>
      <c r="Q58" s="108"/>
    </row>
    <row r="59" spans="1:17" s="68" customFormat="1" ht="15" customHeight="1">
      <c r="A59" s="378">
        <f t="shared" si="0"/>
        <v>45</v>
      </c>
      <c r="B59" s="378" t="s">
        <v>149</v>
      </c>
      <c r="C59" s="542" t="s">
        <v>756</v>
      </c>
      <c r="D59" s="464" t="s">
        <v>90</v>
      </c>
      <c r="E59" s="379">
        <v>1</v>
      </c>
      <c r="F59" s="261"/>
      <c r="G59" s="261"/>
      <c r="H59" s="262"/>
      <c r="I59" s="262"/>
      <c r="J59" s="262"/>
      <c r="K59" s="263"/>
      <c r="L59" s="261"/>
      <c r="M59" s="263"/>
      <c r="N59" s="263"/>
      <c r="O59" s="263"/>
      <c r="P59" s="263"/>
      <c r="Q59" s="108"/>
    </row>
    <row r="60" spans="1:17" s="68" customFormat="1" ht="15" customHeight="1">
      <c r="A60" s="378">
        <f t="shared" si="0"/>
        <v>46</v>
      </c>
      <c r="B60" s="378" t="s">
        <v>149</v>
      </c>
      <c r="C60" s="542" t="s">
        <v>757</v>
      </c>
      <c r="D60" s="464" t="s">
        <v>90</v>
      </c>
      <c r="E60" s="379">
        <v>1</v>
      </c>
      <c r="F60" s="261"/>
      <c r="G60" s="261"/>
      <c r="H60" s="262"/>
      <c r="I60" s="262"/>
      <c r="J60" s="262"/>
      <c r="K60" s="263"/>
      <c r="L60" s="261"/>
      <c r="M60" s="263"/>
      <c r="N60" s="263"/>
      <c r="O60" s="263"/>
      <c r="P60" s="263"/>
      <c r="Q60" s="108"/>
    </row>
    <row r="61" spans="1:17" s="68" customFormat="1" ht="15" customHeight="1">
      <c r="A61" s="378">
        <f t="shared" si="0"/>
        <v>47</v>
      </c>
      <c r="B61" s="378" t="s">
        <v>149</v>
      </c>
      <c r="C61" s="542" t="s">
        <v>758</v>
      </c>
      <c r="D61" s="464" t="s">
        <v>90</v>
      </c>
      <c r="E61" s="379">
        <v>1</v>
      </c>
      <c r="F61" s="261"/>
      <c r="G61" s="261"/>
      <c r="H61" s="262"/>
      <c r="I61" s="262"/>
      <c r="J61" s="262"/>
      <c r="K61" s="263"/>
      <c r="L61" s="261"/>
      <c r="M61" s="263"/>
      <c r="N61" s="263"/>
      <c r="O61" s="263"/>
      <c r="P61" s="263"/>
      <c r="Q61" s="108"/>
    </row>
    <row r="62" spans="1:17" s="68" customFormat="1" ht="15" customHeight="1">
      <c r="A62" s="378">
        <f t="shared" si="0"/>
        <v>48</v>
      </c>
      <c r="B62" s="378" t="s">
        <v>149</v>
      </c>
      <c r="C62" s="542" t="s">
        <v>759</v>
      </c>
      <c r="D62" s="464" t="s">
        <v>728</v>
      </c>
      <c r="E62" s="379">
        <v>500</v>
      </c>
      <c r="F62" s="261"/>
      <c r="G62" s="261"/>
      <c r="H62" s="262"/>
      <c r="I62" s="262"/>
      <c r="J62" s="262"/>
      <c r="K62" s="263"/>
      <c r="L62" s="261"/>
      <c r="M62" s="263"/>
      <c r="N62" s="263"/>
      <c r="O62" s="263"/>
      <c r="P62" s="263"/>
      <c r="Q62" s="108"/>
    </row>
    <row r="63" spans="1:17" s="68" customFormat="1" ht="15" customHeight="1">
      <c r="A63" s="378">
        <f t="shared" si="0"/>
        <v>49</v>
      </c>
      <c r="B63" s="378" t="s">
        <v>149</v>
      </c>
      <c r="C63" s="542" t="s">
        <v>760</v>
      </c>
      <c r="D63" s="464" t="s">
        <v>728</v>
      </c>
      <c r="E63" s="379">
        <v>500</v>
      </c>
      <c r="F63" s="261"/>
      <c r="G63" s="261"/>
      <c r="H63" s="262"/>
      <c r="I63" s="262"/>
      <c r="J63" s="262"/>
      <c r="K63" s="263"/>
      <c r="L63" s="261"/>
      <c r="M63" s="263"/>
      <c r="N63" s="263"/>
      <c r="O63" s="263"/>
      <c r="P63" s="263"/>
      <c r="Q63" s="108"/>
    </row>
    <row r="64" spans="1:17" s="68" customFormat="1" ht="15" customHeight="1">
      <c r="A64" s="378">
        <f t="shared" si="0"/>
        <v>50</v>
      </c>
      <c r="B64" s="378" t="s">
        <v>149</v>
      </c>
      <c r="C64" s="542" t="s">
        <v>761</v>
      </c>
      <c r="D64" s="464" t="s">
        <v>728</v>
      </c>
      <c r="E64" s="379">
        <v>1000</v>
      </c>
      <c r="F64" s="261"/>
      <c r="G64" s="261"/>
      <c r="H64" s="262"/>
      <c r="I64" s="262"/>
      <c r="J64" s="262"/>
      <c r="K64" s="263"/>
      <c r="L64" s="261"/>
      <c r="M64" s="263"/>
      <c r="N64" s="263"/>
      <c r="O64" s="263"/>
      <c r="P64" s="263"/>
      <c r="Q64" s="108"/>
    </row>
    <row r="65" spans="1:17" s="68" customFormat="1" ht="15" customHeight="1">
      <c r="A65" s="378">
        <f t="shared" si="0"/>
        <v>51</v>
      </c>
      <c r="B65" s="378" t="s">
        <v>149</v>
      </c>
      <c r="C65" s="542" t="s">
        <v>762</v>
      </c>
      <c r="D65" s="464" t="s">
        <v>728</v>
      </c>
      <c r="E65" s="379">
        <v>100</v>
      </c>
      <c r="F65" s="261"/>
      <c r="G65" s="261"/>
      <c r="H65" s="262"/>
      <c r="I65" s="262"/>
      <c r="J65" s="262"/>
      <c r="K65" s="263"/>
      <c r="L65" s="261"/>
      <c r="M65" s="263"/>
      <c r="N65" s="263"/>
      <c r="O65" s="263"/>
      <c r="P65" s="263"/>
      <c r="Q65" s="108"/>
    </row>
    <row r="66" spans="1:17" s="68" customFormat="1" ht="15" customHeight="1">
      <c r="A66" s="378">
        <f t="shared" si="0"/>
        <v>52</v>
      </c>
      <c r="B66" s="378" t="s">
        <v>149</v>
      </c>
      <c r="C66" s="542" t="s">
        <v>763</v>
      </c>
      <c r="D66" s="464" t="s">
        <v>728</v>
      </c>
      <c r="E66" s="379">
        <v>80</v>
      </c>
      <c r="F66" s="261"/>
      <c r="G66" s="261"/>
      <c r="H66" s="262"/>
      <c r="I66" s="262"/>
      <c r="J66" s="262"/>
      <c r="K66" s="263"/>
      <c r="L66" s="261"/>
      <c r="M66" s="263"/>
      <c r="N66" s="263"/>
      <c r="O66" s="263"/>
      <c r="P66" s="263"/>
      <c r="Q66" s="108"/>
    </row>
    <row r="67" spans="1:17" s="68" customFormat="1" ht="27" customHeight="1">
      <c r="A67" s="378">
        <f t="shared" si="0"/>
        <v>53</v>
      </c>
      <c r="B67" s="378" t="s">
        <v>149</v>
      </c>
      <c r="C67" s="542" t="s">
        <v>764</v>
      </c>
      <c r="D67" s="464" t="s">
        <v>90</v>
      </c>
      <c r="E67" s="379">
        <v>5</v>
      </c>
      <c r="F67" s="261"/>
      <c r="G67" s="261"/>
      <c r="H67" s="262"/>
      <c r="I67" s="262"/>
      <c r="J67" s="262"/>
      <c r="K67" s="263"/>
      <c r="L67" s="261"/>
      <c r="M67" s="263"/>
      <c r="N67" s="263"/>
      <c r="O67" s="263"/>
      <c r="P67" s="263"/>
      <c r="Q67" s="108"/>
    </row>
    <row r="68" spans="1:17" s="68" customFormat="1" ht="15" customHeight="1">
      <c r="A68" s="378">
        <f t="shared" si="0"/>
        <v>54</v>
      </c>
      <c r="B68" s="378" t="s">
        <v>149</v>
      </c>
      <c r="C68" s="542" t="s">
        <v>765</v>
      </c>
      <c r="D68" s="464" t="s">
        <v>90</v>
      </c>
      <c r="E68" s="379">
        <v>1</v>
      </c>
      <c r="F68" s="261"/>
      <c r="G68" s="261"/>
      <c r="H68" s="262"/>
      <c r="I68" s="262"/>
      <c r="J68" s="262"/>
      <c r="K68" s="263"/>
      <c r="L68" s="261"/>
      <c r="M68" s="263"/>
      <c r="N68" s="263"/>
      <c r="O68" s="263"/>
      <c r="P68" s="263"/>
      <c r="Q68" s="108"/>
    </row>
    <row r="69" spans="1:17" s="68" customFormat="1" ht="15" customHeight="1">
      <c r="A69" s="378">
        <f t="shared" si="0"/>
        <v>55</v>
      </c>
      <c r="B69" s="378" t="s">
        <v>149</v>
      </c>
      <c r="C69" s="542" t="s">
        <v>766</v>
      </c>
      <c r="D69" s="464" t="s">
        <v>90</v>
      </c>
      <c r="E69" s="379">
        <v>1</v>
      </c>
      <c r="F69" s="261"/>
      <c r="G69" s="261"/>
      <c r="H69" s="262"/>
      <c r="I69" s="262"/>
      <c r="J69" s="262"/>
      <c r="K69" s="263"/>
      <c r="L69" s="261"/>
      <c r="M69" s="263"/>
      <c r="N69" s="263"/>
      <c r="O69" s="263"/>
      <c r="P69" s="263"/>
      <c r="Q69" s="108"/>
    </row>
    <row r="70" spans="1:17" s="68" customFormat="1" ht="15" customHeight="1">
      <c r="A70" s="378">
        <f t="shared" si="0"/>
        <v>56</v>
      </c>
      <c r="B70" s="378" t="s">
        <v>149</v>
      </c>
      <c r="C70" s="542" t="s">
        <v>767</v>
      </c>
      <c r="D70" s="464" t="s">
        <v>90</v>
      </c>
      <c r="E70" s="379">
        <v>1</v>
      </c>
      <c r="F70" s="261"/>
      <c r="G70" s="261"/>
      <c r="H70" s="262"/>
      <c r="I70" s="262"/>
      <c r="J70" s="262"/>
      <c r="K70" s="263"/>
      <c r="L70" s="261"/>
      <c r="M70" s="263"/>
      <c r="N70" s="263"/>
      <c r="O70" s="263"/>
      <c r="P70" s="263"/>
      <c r="Q70" s="108"/>
    </row>
    <row r="71" spans="1:17" s="68" customFormat="1" ht="15" customHeight="1">
      <c r="A71" s="378">
        <f t="shared" si="0"/>
        <v>57</v>
      </c>
      <c r="B71" s="378" t="s">
        <v>149</v>
      </c>
      <c r="C71" s="542" t="s">
        <v>768</v>
      </c>
      <c r="D71" s="464" t="s">
        <v>90</v>
      </c>
      <c r="E71" s="379">
        <v>1</v>
      </c>
      <c r="F71" s="261"/>
      <c r="G71" s="261"/>
      <c r="H71" s="262"/>
      <c r="I71" s="262"/>
      <c r="J71" s="262"/>
      <c r="K71" s="263"/>
      <c r="L71" s="261"/>
      <c r="M71" s="263"/>
      <c r="N71" s="263"/>
      <c r="O71" s="263"/>
      <c r="P71" s="263"/>
      <c r="Q71" s="108"/>
    </row>
    <row r="72" spans="1:17" s="68" customFormat="1" ht="27" customHeight="1">
      <c r="A72" s="378">
        <f t="shared" si="0"/>
        <v>58</v>
      </c>
      <c r="B72" s="378" t="s">
        <v>149</v>
      </c>
      <c r="C72" s="542" t="s">
        <v>769</v>
      </c>
      <c r="D72" s="464" t="s">
        <v>90</v>
      </c>
      <c r="E72" s="379">
        <v>2</v>
      </c>
      <c r="F72" s="261"/>
      <c r="G72" s="261"/>
      <c r="H72" s="262"/>
      <c r="I72" s="262"/>
      <c r="J72" s="262"/>
      <c r="K72" s="263"/>
      <c r="L72" s="261"/>
      <c r="M72" s="263"/>
      <c r="N72" s="263"/>
      <c r="O72" s="263"/>
      <c r="P72" s="263"/>
      <c r="Q72" s="108"/>
    </row>
    <row r="73" spans="1:17" s="68" customFormat="1" ht="27" customHeight="1">
      <c r="A73" s="378">
        <f t="shared" si="0"/>
        <v>59</v>
      </c>
      <c r="B73" s="378" t="s">
        <v>149</v>
      </c>
      <c r="C73" s="542" t="s">
        <v>770</v>
      </c>
      <c r="D73" s="464" t="s">
        <v>90</v>
      </c>
      <c r="E73" s="379">
        <v>1</v>
      </c>
      <c r="F73" s="261"/>
      <c r="G73" s="261"/>
      <c r="H73" s="262"/>
      <c r="I73" s="262"/>
      <c r="J73" s="262"/>
      <c r="K73" s="263"/>
      <c r="L73" s="261"/>
      <c r="M73" s="263"/>
      <c r="N73" s="263"/>
      <c r="O73" s="263"/>
      <c r="P73" s="263"/>
      <c r="Q73" s="108"/>
    </row>
    <row r="74" spans="1:17" s="68" customFormat="1" ht="27" customHeight="1">
      <c r="A74" s="378">
        <f t="shared" si="0"/>
        <v>60</v>
      </c>
      <c r="B74" s="378" t="s">
        <v>149</v>
      </c>
      <c r="C74" s="542" t="s">
        <v>771</v>
      </c>
      <c r="D74" s="464" t="s">
        <v>90</v>
      </c>
      <c r="E74" s="379">
        <v>1</v>
      </c>
      <c r="F74" s="261"/>
      <c r="G74" s="261"/>
      <c r="H74" s="262"/>
      <c r="I74" s="262"/>
      <c r="J74" s="262"/>
      <c r="K74" s="263"/>
      <c r="L74" s="261"/>
      <c r="M74" s="263"/>
      <c r="N74" s="263"/>
      <c r="O74" s="263"/>
      <c r="P74" s="263"/>
      <c r="Q74" s="108"/>
    </row>
    <row r="75" spans="1:17" s="68" customFormat="1" ht="27" customHeight="1">
      <c r="A75" s="378">
        <f t="shared" si="0"/>
        <v>61</v>
      </c>
      <c r="B75" s="378" t="s">
        <v>149</v>
      </c>
      <c r="C75" s="542" t="s">
        <v>772</v>
      </c>
      <c r="D75" s="464" t="s">
        <v>90</v>
      </c>
      <c r="E75" s="379">
        <v>2</v>
      </c>
      <c r="F75" s="261"/>
      <c r="G75" s="261"/>
      <c r="H75" s="262"/>
      <c r="I75" s="262"/>
      <c r="J75" s="262"/>
      <c r="K75" s="263"/>
      <c r="L75" s="261"/>
      <c r="M75" s="263"/>
      <c r="N75" s="263"/>
      <c r="O75" s="263"/>
      <c r="P75" s="263"/>
      <c r="Q75" s="108"/>
    </row>
    <row r="76" spans="1:17" s="68" customFormat="1" ht="27" customHeight="1">
      <c r="A76" s="378">
        <f t="shared" si="0"/>
        <v>62</v>
      </c>
      <c r="B76" s="378" t="s">
        <v>149</v>
      </c>
      <c r="C76" s="542" t="s">
        <v>773</v>
      </c>
      <c r="D76" s="464" t="s">
        <v>90</v>
      </c>
      <c r="E76" s="379">
        <v>1</v>
      </c>
      <c r="F76" s="261"/>
      <c r="G76" s="261"/>
      <c r="H76" s="262"/>
      <c r="I76" s="262"/>
      <c r="J76" s="262"/>
      <c r="K76" s="263"/>
      <c r="L76" s="261"/>
      <c r="M76" s="263"/>
      <c r="N76" s="263"/>
      <c r="O76" s="263"/>
      <c r="P76" s="263"/>
      <c r="Q76" s="108"/>
    </row>
    <row r="77" spans="1:17" s="68" customFormat="1" ht="27" customHeight="1">
      <c r="A77" s="378">
        <f t="shared" si="0"/>
        <v>63</v>
      </c>
      <c r="B77" s="382" t="s">
        <v>149</v>
      </c>
      <c r="C77" s="543" t="s">
        <v>774</v>
      </c>
      <c r="D77" s="492" t="s">
        <v>90</v>
      </c>
      <c r="E77" s="383">
        <v>1</v>
      </c>
      <c r="F77" s="270"/>
      <c r="G77" s="270"/>
      <c r="H77" s="271"/>
      <c r="I77" s="271"/>
      <c r="J77" s="271"/>
      <c r="K77" s="272"/>
      <c r="L77" s="270"/>
      <c r="M77" s="272"/>
      <c r="N77" s="272"/>
      <c r="O77" s="272"/>
      <c r="P77" s="272"/>
      <c r="Q77" s="108"/>
    </row>
    <row r="78" spans="1:17" s="68" customFormat="1" ht="15" customHeight="1">
      <c r="A78" s="500"/>
      <c r="B78" s="500"/>
      <c r="C78" s="371" t="s">
        <v>775</v>
      </c>
      <c r="D78" s="460"/>
      <c r="E78" s="545"/>
      <c r="F78" s="140"/>
      <c r="G78" s="140"/>
      <c r="H78" s="147"/>
      <c r="I78" s="147"/>
      <c r="J78" s="147"/>
      <c r="K78" s="141"/>
      <c r="L78" s="140"/>
      <c r="M78" s="141"/>
      <c r="N78" s="141"/>
      <c r="O78" s="141"/>
      <c r="P78" s="141"/>
      <c r="Q78" s="108"/>
    </row>
    <row r="79" spans="1:17" s="68" customFormat="1" ht="15" customHeight="1">
      <c r="A79" s="378">
        <f>A77+1</f>
        <v>64</v>
      </c>
      <c r="B79" s="387" t="s">
        <v>149</v>
      </c>
      <c r="C79" s="541" t="s">
        <v>776</v>
      </c>
      <c r="D79" s="486" t="s">
        <v>93</v>
      </c>
      <c r="E79" s="388">
        <v>603</v>
      </c>
      <c r="F79" s="267"/>
      <c r="G79" s="267"/>
      <c r="H79" s="268"/>
      <c r="I79" s="268"/>
      <c r="J79" s="268"/>
      <c r="K79" s="269"/>
      <c r="L79" s="267"/>
      <c r="M79" s="269"/>
      <c r="N79" s="269"/>
      <c r="O79" s="269"/>
      <c r="P79" s="269"/>
      <c r="Q79" s="108"/>
    </row>
    <row r="80" spans="1:17" s="68" customFormat="1" ht="15" customHeight="1">
      <c r="A80" s="378">
        <f t="shared" ref="A80:A143" si="1">A79+1</f>
        <v>65</v>
      </c>
      <c r="B80" s="378" t="s">
        <v>149</v>
      </c>
      <c r="C80" s="542" t="s">
        <v>777</v>
      </c>
      <c r="D80" s="464" t="s">
        <v>93</v>
      </c>
      <c r="E80" s="379">
        <v>164</v>
      </c>
      <c r="F80" s="261"/>
      <c r="G80" s="261"/>
      <c r="H80" s="262"/>
      <c r="I80" s="262"/>
      <c r="J80" s="262"/>
      <c r="K80" s="263"/>
      <c r="L80" s="261"/>
      <c r="M80" s="263"/>
      <c r="N80" s="263"/>
      <c r="O80" s="263"/>
      <c r="P80" s="263"/>
      <c r="Q80" s="108"/>
    </row>
    <row r="81" spans="1:17" s="68" customFormat="1" ht="15" customHeight="1">
      <c r="A81" s="378">
        <f t="shared" si="1"/>
        <v>66</v>
      </c>
      <c r="B81" s="378" t="s">
        <v>149</v>
      </c>
      <c r="C81" s="542" t="s">
        <v>778</v>
      </c>
      <c r="D81" s="464" t="s">
        <v>93</v>
      </c>
      <c r="E81" s="379">
        <v>31</v>
      </c>
      <c r="F81" s="261"/>
      <c r="G81" s="261"/>
      <c r="H81" s="262"/>
      <c r="I81" s="262"/>
      <c r="J81" s="262"/>
      <c r="K81" s="263"/>
      <c r="L81" s="261"/>
      <c r="M81" s="263"/>
      <c r="N81" s="263"/>
      <c r="O81" s="263"/>
      <c r="P81" s="263"/>
      <c r="Q81" s="108"/>
    </row>
    <row r="82" spans="1:17" s="68" customFormat="1" ht="15" customHeight="1">
      <c r="A82" s="378">
        <f t="shared" si="1"/>
        <v>67</v>
      </c>
      <c r="B82" s="378" t="s">
        <v>149</v>
      </c>
      <c r="C82" s="542" t="s">
        <v>779</v>
      </c>
      <c r="D82" s="464" t="s">
        <v>93</v>
      </c>
      <c r="E82" s="379">
        <v>15</v>
      </c>
      <c r="F82" s="261"/>
      <c r="G82" s="261"/>
      <c r="H82" s="262"/>
      <c r="I82" s="262"/>
      <c r="J82" s="262"/>
      <c r="K82" s="263"/>
      <c r="L82" s="261"/>
      <c r="M82" s="263"/>
      <c r="N82" s="263"/>
      <c r="O82" s="263"/>
      <c r="P82" s="263"/>
      <c r="Q82" s="108"/>
    </row>
    <row r="83" spans="1:17" s="68" customFormat="1" ht="15" customHeight="1">
      <c r="A83" s="378">
        <f t="shared" si="1"/>
        <v>68</v>
      </c>
      <c r="B83" s="378" t="s">
        <v>149</v>
      </c>
      <c r="C83" s="542" t="s">
        <v>780</v>
      </c>
      <c r="D83" s="464" t="s">
        <v>93</v>
      </c>
      <c r="E83" s="379">
        <v>1</v>
      </c>
      <c r="F83" s="261"/>
      <c r="G83" s="261"/>
      <c r="H83" s="262"/>
      <c r="I83" s="262"/>
      <c r="J83" s="262"/>
      <c r="K83" s="263"/>
      <c r="L83" s="261"/>
      <c r="M83" s="263"/>
      <c r="N83" s="263"/>
      <c r="O83" s="263"/>
      <c r="P83" s="263"/>
      <c r="Q83" s="108"/>
    </row>
    <row r="84" spans="1:17" s="68" customFormat="1" ht="15" customHeight="1">
      <c r="A84" s="378">
        <f t="shared" si="1"/>
        <v>69</v>
      </c>
      <c r="B84" s="378" t="s">
        <v>149</v>
      </c>
      <c r="C84" s="542" t="s">
        <v>781</v>
      </c>
      <c r="D84" s="464" t="s">
        <v>93</v>
      </c>
      <c r="E84" s="379">
        <v>1</v>
      </c>
      <c r="F84" s="261"/>
      <c r="G84" s="261"/>
      <c r="H84" s="262"/>
      <c r="I84" s="262"/>
      <c r="J84" s="262"/>
      <c r="K84" s="263"/>
      <c r="L84" s="261"/>
      <c r="M84" s="263"/>
      <c r="N84" s="263"/>
      <c r="O84" s="263"/>
      <c r="P84" s="263"/>
      <c r="Q84" s="108"/>
    </row>
    <row r="85" spans="1:17" s="68" customFormat="1" ht="15" customHeight="1">
      <c r="A85" s="378">
        <f t="shared" si="1"/>
        <v>70</v>
      </c>
      <c r="B85" s="378" t="s">
        <v>149</v>
      </c>
      <c r="C85" s="542" t="s">
        <v>782</v>
      </c>
      <c r="D85" s="464" t="s">
        <v>93</v>
      </c>
      <c r="E85" s="379">
        <v>4</v>
      </c>
      <c r="F85" s="261"/>
      <c r="G85" s="261"/>
      <c r="H85" s="262"/>
      <c r="I85" s="262"/>
      <c r="J85" s="262"/>
      <c r="K85" s="263"/>
      <c r="L85" s="261"/>
      <c r="M85" s="263"/>
      <c r="N85" s="263"/>
      <c r="O85" s="263"/>
      <c r="P85" s="263"/>
      <c r="Q85" s="108"/>
    </row>
    <row r="86" spans="1:17" s="68" customFormat="1" ht="15" customHeight="1">
      <c r="A86" s="378">
        <f t="shared" si="1"/>
        <v>71</v>
      </c>
      <c r="B86" s="378" t="s">
        <v>149</v>
      </c>
      <c r="C86" s="542" t="s">
        <v>783</v>
      </c>
      <c r="D86" s="464" t="s">
        <v>93</v>
      </c>
      <c r="E86" s="379">
        <v>200</v>
      </c>
      <c r="F86" s="261"/>
      <c r="G86" s="261"/>
      <c r="H86" s="262"/>
      <c r="I86" s="262"/>
      <c r="J86" s="262"/>
      <c r="K86" s="263"/>
      <c r="L86" s="261"/>
      <c r="M86" s="263"/>
      <c r="N86" s="263"/>
      <c r="O86" s="263"/>
      <c r="P86" s="263"/>
      <c r="Q86" s="108"/>
    </row>
    <row r="87" spans="1:17" s="68" customFormat="1" ht="15" customHeight="1">
      <c r="A87" s="378">
        <f t="shared" si="1"/>
        <v>72</v>
      </c>
      <c r="B87" s="378" t="s">
        <v>149</v>
      </c>
      <c r="C87" s="542" t="s">
        <v>784</v>
      </c>
      <c r="D87" s="464" t="s">
        <v>93</v>
      </c>
      <c r="E87" s="379">
        <v>750</v>
      </c>
      <c r="F87" s="261"/>
      <c r="G87" s="261"/>
      <c r="H87" s="262"/>
      <c r="I87" s="262"/>
      <c r="J87" s="262"/>
      <c r="K87" s="263"/>
      <c r="L87" s="261"/>
      <c r="M87" s="263"/>
      <c r="N87" s="263"/>
      <c r="O87" s="263"/>
      <c r="P87" s="263"/>
      <c r="Q87" s="108"/>
    </row>
    <row r="88" spans="1:17" s="68" customFormat="1" ht="15" customHeight="1">
      <c r="A88" s="378">
        <f t="shared" si="1"/>
        <v>73</v>
      </c>
      <c r="B88" s="378" t="s">
        <v>149</v>
      </c>
      <c r="C88" s="542" t="s">
        <v>785</v>
      </c>
      <c r="D88" s="464" t="s">
        <v>90</v>
      </c>
      <c r="E88" s="379">
        <v>5</v>
      </c>
      <c r="F88" s="261"/>
      <c r="G88" s="261"/>
      <c r="H88" s="262"/>
      <c r="I88" s="262"/>
      <c r="J88" s="262"/>
      <c r="K88" s="263"/>
      <c r="L88" s="261"/>
      <c r="M88" s="263"/>
      <c r="N88" s="263"/>
      <c r="O88" s="263"/>
      <c r="P88" s="263"/>
      <c r="Q88" s="108"/>
    </row>
    <row r="89" spans="1:17" s="68" customFormat="1" ht="15" customHeight="1">
      <c r="A89" s="378">
        <f t="shared" si="1"/>
        <v>74</v>
      </c>
      <c r="B89" s="378" t="s">
        <v>149</v>
      </c>
      <c r="C89" s="542" t="s">
        <v>786</v>
      </c>
      <c r="D89" s="464" t="s">
        <v>90</v>
      </c>
      <c r="E89" s="379">
        <v>6</v>
      </c>
      <c r="F89" s="261"/>
      <c r="G89" s="261"/>
      <c r="H89" s="262"/>
      <c r="I89" s="262"/>
      <c r="J89" s="262"/>
      <c r="K89" s="263"/>
      <c r="L89" s="261"/>
      <c r="M89" s="263"/>
      <c r="N89" s="263"/>
      <c r="O89" s="263"/>
      <c r="P89" s="263"/>
      <c r="Q89" s="108"/>
    </row>
    <row r="90" spans="1:17" s="68" customFormat="1">
      <c r="A90" s="378">
        <f t="shared" si="1"/>
        <v>75</v>
      </c>
      <c r="B90" s="378" t="s">
        <v>149</v>
      </c>
      <c r="C90" s="542" t="s">
        <v>787</v>
      </c>
      <c r="D90" s="464" t="s">
        <v>93</v>
      </c>
      <c r="E90" s="379">
        <v>34</v>
      </c>
      <c r="F90" s="261"/>
      <c r="G90" s="261"/>
      <c r="H90" s="262"/>
      <c r="I90" s="262"/>
      <c r="J90" s="262"/>
      <c r="K90" s="263"/>
      <c r="L90" s="261"/>
      <c r="M90" s="263"/>
      <c r="N90" s="263"/>
      <c r="O90" s="263"/>
      <c r="P90" s="263"/>
      <c r="Q90" s="108"/>
    </row>
    <row r="91" spans="1:17" s="68" customFormat="1" ht="27" customHeight="1">
      <c r="A91" s="378">
        <f t="shared" si="1"/>
        <v>76</v>
      </c>
      <c r="B91" s="378" t="s">
        <v>149</v>
      </c>
      <c r="C91" s="542" t="s">
        <v>788</v>
      </c>
      <c r="D91" s="464" t="s">
        <v>93</v>
      </c>
      <c r="E91" s="379">
        <v>12</v>
      </c>
      <c r="F91" s="261"/>
      <c r="G91" s="261"/>
      <c r="H91" s="262"/>
      <c r="I91" s="262"/>
      <c r="J91" s="262"/>
      <c r="K91" s="263"/>
      <c r="L91" s="261"/>
      <c r="M91" s="263"/>
      <c r="N91" s="263"/>
      <c r="O91" s="263"/>
      <c r="P91" s="263"/>
      <c r="Q91" s="108"/>
    </row>
    <row r="92" spans="1:17" s="68" customFormat="1" ht="15" customHeight="1">
      <c r="A92" s="378">
        <f t="shared" si="1"/>
        <v>77</v>
      </c>
      <c r="B92" s="378" t="s">
        <v>149</v>
      </c>
      <c r="C92" s="542" t="s">
        <v>789</v>
      </c>
      <c r="D92" s="464" t="s">
        <v>93</v>
      </c>
      <c r="E92" s="379">
        <v>36</v>
      </c>
      <c r="F92" s="261"/>
      <c r="G92" s="261"/>
      <c r="H92" s="262"/>
      <c r="I92" s="262"/>
      <c r="J92" s="262"/>
      <c r="K92" s="263"/>
      <c r="L92" s="261"/>
      <c r="M92" s="263"/>
      <c r="N92" s="263"/>
      <c r="O92" s="263"/>
      <c r="P92" s="263"/>
      <c r="Q92" s="108"/>
    </row>
    <row r="93" spans="1:17" s="68" customFormat="1" ht="15" customHeight="1">
      <c r="A93" s="378">
        <f t="shared" si="1"/>
        <v>78</v>
      </c>
      <c r="B93" s="378" t="s">
        <v>149</v>
      </c>
      <c r="C93" s="542" t="s">
        <v>790</v>
      </c>
      <c r="D93" s="464" t="s">
        <v>93</v>
      </c>
      <c r="E93" s="379">
        <v>4</v>
      </c>
      <c r="F93" s="261"/>
      <c r="G93" s="261"/>
      <c r="H93" s="262"/>
      <c r="I93" s="262"/>
      <c r="J93" s="262"/>
      <c r="K93" s="263"/>
      <c r="L93" s="261"/>
      <c r="M93" s="263"/>
      <c r="N93" s="263"/>
      <c r="O93" s="263"/>
      <c r="P93" s="263"/>
      <c r="Q93" s="108"/>
    </row>
    <row r="94" spans="1:17" s="68" customFormat="1" ht="15" customHeight="1">
      <c r="A94" s="378">
        <f t="shared" si="1"/>
        <v>79</v>
      </c>
      <c r="B94" s="378" t="s">
        <v>149</v>
      </c>
      <c r="C94" s="542" t="s">
        <v>791</v>
      </c>
      <c r="D94" s="464" t="s">
        <v>93</v>
      </c>
      <c r="E94" s="379">
        <v>19</v>
      </c>
      <c r="F94" s="261"/>
      <c r="G94" s="261"/>
      <c r="H94" s="262"/>
      <c r="I94" s="262"/>
      <c r="J94" s="262"/>
      <c r="K94" s="263"/>
      <c r="L94" s="261"/>
      <c r="M94" s="263"/>
      <c r="N94" s="263"/>
      <c r="O94" s="263"/>
      <c r="P94" s="263"/>
      <c r="Q94" s="108"/>
    </row>
    <row r="95" spans="1:17" s="68" customFormat="1" ht="15" customHeight="1">
      <c r="A95" s="378">
        <f t="shared" si="1"/>
        <v>80</v>
      </c>
      <c r="B95" s="378" t="s">
        <v>149</v>
      </c>
      <c r="C95" s="542" t="s">
        <v>792</v>
      </c>
      <c r="D95" s="464" t="s">
        <v>93</v>
      </c>
      <c r="E95" s="379">
        <v>3</v>
      </c>
      <c r="F95" s="261"/>
      <c r="G95" s="261"/>
      <c r="H95" s="262"/>
      <c r="I95" s="262"/>
      <c r="J95" s="262"/>
      <c r="K95" s="263"/>
      <c r="L95" s="261"/>
      <c r="M95" s="263"/>
      <c r="N95" s="263"/>
      <c r="O95" s="263"/>
      <c r="P95" s="263"/>
      <c r="Q95" s="108"/>
    </row>
    <row r="96" spans="1:17" s="68" customFormat="1" ht="15" customHeight="1">
      <c r="A96" s="378">
        <f t="shared" si="1"/>
        <v>81</v>
      </c>
      <c r="B96" s="378" t="s">
        <v>149</v>
      </c>
      <c r="C96" s="542" t="s">
        <v>793</v>
      </c>
      <c r="D96" s="464" t="s">
        <v>93</v>
      </c>
      <c r="E96" s="379">
        <v>2</v>
      </c>
      <c r="F96" s="261"/>
      <c r="G96" s="261"/>
      <c r="H96" s="262"/>
      <c r="I96" s="262"/>
      <c r="J96" s="262"/>
      <c r="K96" s="263"/>
      <c r="L96" s="261"/>
      <c r="M96" s="263"/>
      <c r="N96" s="263"/>
      <c r="O96" s="263"/>
      <c r="P96" s="263"/>
      <c r="Q96" s="108"/>
    </row>
    <row r="97" spans="1:17" s="68" customFormat="1" ht="15" customHeight="1">
      <c r="A97" s="378">
        <f t="shared" si="1"/>
        <v>82</v>
      </c>
      <c r="B97" s="378" t="s">
        <v>149</v>
      </c>
      <c r="C97" s="542" t="s">
        <v>794</v>
      </c>
      <c r="D97" s="464" t="s">
        <v>93</v>
      </c>
      <c r="E97" s="379">
        <v>14</v>
      </c>
      <c r="F97" s="261"/>
      <c r="G97" s="261"/>
      <c r="H97" s="262"/>
      <c r="I97" s="262"/>
      <c r="J97" s="262"/>
      <c r="K97" s="263"/>
      <c r="L97" s="261"/>
      <c r="M97" s="263"/>
      <c r="N97" s="263"/>
      <c r="O97" s="263"/>
      <c r="P97" s="263"/>
      <c r="Q97" s="108"/>
    </row>
    <row r="98" spans="1:17" s="68" customFormat="1" ht="15" customHeight="1">
      <c r="A98" s="378">
        <f t="shared" si="1"/>
        <v>83</v>
      </c>
      <c r="B98" s="378" t="s">
        <v>149</v>
      </c>
      <c r="C98" s="542" t="s">
        <v>795</v>
      </c>
      <c r="D98" s="464" t="s">
        <v>93</v>
      </c>
      <c r="E98" s="379">
        <v>6</v>
      </c>
      <c r="F98" s="261"/>
      <c r="G98" s="261"/>
      <c r="H98" s="262"/>
      <c r="I98" s="262"/>
      <c r="J98" s="262"/>
      <c r="K98" s="263"/>
      <c r="L98" s="261"/>
      <c r="M98" s="263"/>
      <c r="N98" s="263"/>
      <c r="O98" s="263"/>
      <c r="P98" s="263"/>
      <c r="Q98" s="108"/>
    </row>
    <row r="99" spans="1:17" s="68" customFormat="1" ht="15" customHeight="1">
      <c r="A99" s="378">
        <f t="shared" si="1"/>
        <v>84</v>
      </c>
      <c r="B99" s="378" t="s">
        <v>149</v>
      </c>
      <c r="C99" s="542" t="s">
        <v>796</v>
      </c>
      <c r="D99" s="464" t="s">
        <v>93</v>
      </c>
      <c r="E99" s="379">
        <v>58</v>
      </c>
      <c r="F99" s="261"/>
      <c r="G99" s="261"/>
      <c r="H99" s="262"/>
      <c r="I99" s="262"/>
      <c r="J99" s="262"/>
      <c r="K99" s="263"/>
      <c r="L99" s="261"/>
      <c r="M99" s="263"/>
      <c r="N99" s="263"/>
      <c r="O99" s="263"/>
      <c r="P99" s="263"/>
      <c r="Q99" s="108"/>
    </row>
    <row r="100" spans="1:17" s="68" customFormat="1" ht="15" customHeight="1">
      <c r="A100" s="378">
        <f t="shared" si="1"/>
        <v>85</v>
      </c>
      <c r="B100" s="378" t="s">
        <v>149</v>
      </c>
      <c r="C100" s="542" t="s">
        <v>797</v>
      </c>
      <c r="D100" s="464" t="s">
        <v>93</v>
      </c>
      <c r="E100" s="379">
        <v>950</v>
      </c>
      <c r="F100" s="261"/>
      <c r="G100" s="261"/>
      <c r="H100" s="262"/>
      <c r="I100" s="262"/>
      <c r="J100" s="262"/>
      <c r="K100" s="263"/>
      <c r="L100" s="261"/>
      <c r="M100" s="263"/>
      <c r="N100" s="263"/>
      <c r="O100" s="263"/>
      <c r="P100" s="263"/>
      <c r="Q100" s="108"/>
    </row>
    <row r="101" spans="1:17" s="68" customFormat="1" ht="15" customHeight="1">
      <c r="A101" s="378">
        <f t="shared" si="1"/>
        <v>86</v>
      </c>
      <c r="B101" s="378" t="s">
        <v>149</v>
      </c>
      <c r="C101" s="542" t="s">
        <v>798</v>
      </c>
      <c r="D101" s="464" t="s">
        <v>93</v>
      </c>
      <c r="E101" s="379">
        <v>10</v>
      </c>
      <c r="F101" s="261"/>
      <c r="G101" s="261"/>
      <c r="H101" s="262"/>
      <c r="I101" s="262"/>
      <c r="J101" s="262"/>
      <c r="K101" s="263"/>
      <c r="L101" s="261"/>
      <c r="M101" s="263"/>
      <c r="N101" s="263"/>
      <c r="O101" s="263"/>
      <c r="P101" s="263"/>
      <c r="Q101" s="108"/>
    </row>
    <row r="102" spans="1:17" s="68" customFormat="1" ht="15" customHeight="1">
      <c r="A102" s="378">
        <f t="shared" si="1"/>
        <v>87</v>
      </c>
      <c r="B102" s="382" t="s">
        <v>149</v>
      </c>
      <c r="C102" s="543" t="s">
        <v>799</v>
      </c>
      <c r="D102" s="492" t="s">
        <v>90</v>
      </c>
      <c r="E102" s="383">
        <v>1</v>
      </c>
      <c r="F102" s="270"/>
      <c r="G102" s="270"/>
      <c r="H102" s="271"/>
      <c r="I102" s="271"/>
      <c r="J102" s="271"/>
      <c r="K102" s="272"/>
      <c r="L102" s="270"/>
      <c r="M102" s="272"/>
      <c r="N102" s="272"/>
      <c r="O102" s="272"/>
      <c r="P102" s="272"/>
      <c r="Q102" s="108"/>
    </row>
    <row r="103" spans="1:17" s="68" customFormat="1" ht="15" customHeight="1">
      <c r="A103" s="500"/>
      <c r="B103" s="500"/>
      <c r="C103" s="371" t="s">
        <v>800</v>
      </c>
      <c r="D103" s="460"/>
      <c r="E103" s="545"/>
      <c r="F103" s="140"/>
      <c r="G103" s="140"/>
      <c r="H103" s="147"/>
      <c r="I103" s="147"/>
      <c r="J103" s="147"/>
      <c r="K103" s="141"/>
      <c r="L103" s="140"/>
      <c r="M103" s="141"/>
      <c r="N103" s="141"/>
      <c r="O103" s="141"/>
      <c r="P103" s="141"/>
      <c r="Q103" s="108"/>
    </row>
    <row r="104" spans="1:17" s="68" customFormat="1" ht="27" customHeight="1">
      <c r="A104" s="378">
        <f>A102+1</f>
        <v>88</v>
      </c>
      <c r="B104" s="387" t="s">
        <v>149</v>
      </c>
      <c r="C104" s="541" t="s">
        <v>801</v>
      </c>
      <c r="D104" s="486" t="s">
        <v>90</v>
      </c>
      <c r="E104" s="388">
        <v>268</v>
      </c>
      <c r="F104" s="267"/>
      <c r="G104" s="267"/>
      <c r="H104" s="268"/>
      <c r="I104" s="268"/>
      <c r="J104" s="268"/>
      <c r="K104" s="269"/>
      <c r="L104" s="267"/>
      <c r="M104" s="269"/>
      <c r="N104" s="269"/>
      <c r="O104" s="269"/>
      <c r="P104" s="269"/>
      <c r="Q104" s="108"/>
    </row>
    <row r="105" spans="1:17" s="68" customFormat="1" ht="27" customHeight="1">
      <c r="A105" s="378">
        <f t="shared" si="1"/>
        <v>89</v>
      </c>
      <c r="B105" s="378" t="s">
        <v>149</v>
      </c>
      <c r="C105" s="542" t="s">
        <v>802</v>
      </c>
      <c r="D105" s="464" t="s">
        <v>90</v>
      </c>
      <c r="E105" s="379">
        <v>35</v>
      </c>
      <c r="F105" s="261"/>
      <c r="G105" s="261"/>
      <c r="H105" s="262"/>
      <c r="I105" s="262"/>
      <c r="J105" s="262"/>
      <c r="K105" s="263"/>
      <c r="L105" s="261"/>
      <c r="M105" s="263"/>
      <c r="N105" s="263"/>
      <c r="O105" s="263"/>
      <c r="P105" s="263"/>
      <c r="Q105" s="108"/>
    </row>
    <row r="106" spans="1:17" s="68" customFormat="1" ht="27" customHeight="1">
      <c r="A106" s="378">
        <f t="shared" si="1"/>
        <v>90</v>
      </c>
      <c r="B106" s="378" t="s">
        <v>149</v>
      </c>
      <c r="C106" s="542" t="s">
        <v>803</v>
      </c>
      <c r="D106" s="464" t="s">
        <v>90</v>
      </c>
      <c r="E106" s="379">
        <v>48</v>
      </c>
      <c r="F106" s="261"/>
      <c r="G106" s="261"/>
      <c r="H106" s="262"/>
      <c r="I106" s="262"/>
      <c r="J106" s="262"/>
      <c r="K106" s="263"/>
      <c r="L106" s="261"/>
      <c r="M106" s="263"/>
      <c r="N106" s="263"/>
      <c r="O106" s="263"/>
      <c r="P106" s="263"/>
      <c r="Q106" s="108"/>
    </row>
    <row r="107" spans="1:17" s="68" customFormat="1" ht="27" customHeight="1">
      <c r="A107" s="378">
        <f t="shared" si="1"/>
        <v>91</v>
      </c>
      <c r="B107" s="378" t="s">
        <v>149</v>
      </c>
      <c r="C107" s="542" t="s">
        <v>804</v>
      </c>
      <c r="D107" s="464" t="s">
        <v>90</v>
      </c>
      <c r="E107" s="379">
        <v>9</v>
      </c>
      <c r="F107" s="261"/>
      <c r="G107" s="261"/>
      <c r="H107" s="262"/>
      <c r="I107" s="262"/>
      <c r="J107" s="262"/>
      <c r="K107" s="263"/>
      <c r="L107" s="261"/>
      <c r="M107" s="263"/>
      <c r="N107" s="263"/>
      <c r="O107" s="263"/>
      <c r="P107" s="263"/>
      <c r="Q107" s="108"/>
    </row>
    <row r="108" spans="1:17" s="68" customFormat="1" ht="27" customHeight="1">
      <c r="A108" s="378">
        <f t="shared" si="1"/>
        <v>92</v>
      </c>
      <c r="B108" s="378" t="s">
        <v>149</v>
      </c>
      <c r="C108" s="542" t="s">
        <v>805</v>
      </c>
      <c r="D108" s="464" t="s">
        <v>90</v>
      </c>
      <c r="E108" s="379">
        <v>18</v>
      </c>
      <c r="F108" s="261"/>
      <c r="G108" s="261"/>
      <c r="H108" s="262"/>
      <c r="I108" s="262"/>
      <c r="J108" s="262"/>
      <c r="K108" s="263"/>
      <c r="L108" s="261"/>
      <c r="M108" s="263"/>
      <c r="N108" s="263"/>
      <c r="O108" s="263"/>
      <c r="P108" s="263"/>
      <c r="Q108" s="108"/>
    </row>
    <row r="109" spans="1:17" s="68" customFormat="1" ht="27" customHeight="1">
      <c r="A109" s="378">
        <f t="shared" si="1"/>
        <v>93</v>
      </c>
      <c r="B109" s="378" t="s">
        <v>149</v>
      </c>
      <c r="C109" s="542" t="s">
        <v>806</v>
      </c>
      <c r="D109" s="464" t="s">
        <v>90</v>
      </c>
      <c r="E109" s="379">
        <v>81</v>
      </c>
      <c r="F109" s="261"/>
      <c r="G109" s="261"/>
      <c r="H109" s="262"/>
      <c r="I109" s="262"/>
      <c r="J109" s="262"/>
      <c r="K109" s="263"/>
      <c r="L109" s="261"/>
      <c r="M109" s="263"/>
      <c r="N109" s="263"/>
      <c r="O109" s="263"/>
      <c r="P109" s="263"/>
      <c r="Q109" s="108"/>
    </row>
    <row r="110" spans="1:17" s="68" customFormat="1" ht="27" customHeight="1">
      <c r="A110" s="378">
        <f t="shared" si="1"/>
        <v>94</v>
      </c>
      <c r="B110" s="378" t="s">
        <v>149</v>
      </c>
      <c r="C110" s="542" t="s">
        <v>807</v>
      </c>
      <c r="D110" s="464" t="s">
        <v>90</v>
      </c>
      <c r="E110" s="379">
        <v>31</v>
      </c>
      <c r="F110" s="261"/>
      <c r="G110" s="261"/>
      <c r="H110" s="262"/>
      <c r="I110" s="262"/>
      <c r="J110" s="262"/>
      <c r="K110" s="263"/>
      <c r="L110" s="261"/>
      <c r="M110" s="263"/>
      <c r="N110" s="263"/>
      <c r="O110" s="263"/>
      <c r="P110" s="263"/>
      <c r="Q110" s="108"/>
    </row>
    <row r="111" spans="1:17" s="68" customFormat="1" ht="27" customHeight="1">
      <c r="A111" s="378">
        <f t="shared" si="1"/>
        <v>95</v>
      </c>
      <c r="B111" s="378" t="s">
        <v>149</v>
      </c>
      <c r="C111" s="542" t="s">
        <v>808</v>
      </c>
      <c r="D111" s="464" t="s">
        <v>90</v>
      </c>
      <c r="E111" s="379">
        <v>11</v>
      </c>
      <c r="F111" s="261"/>
      <c r="G111" s="261"/>
      <c r="H111" s="262"/>
      <c r="I111" s="262"/>
      <c r="J111" s="262"/>
      <c r="K111" s="263"/>
      <c r="L111" s="261"/>
      <c r="M111" s="263"/>
      <c r="N111" s="263"/>
      <c r="O111" s="263"/>
      <c r="P111" s="263"/>
      <c r="Q111" s="108"/>
    </row>
    <row r="112" spans="1:17" s="68" customFormat="1" ht="27" customHeight="1">
      <c r="A112" s="378">
        <f t="shared" si="1"/>
        <v>96</v>
      </c>
      <c r="B112" s="378" t="s">
        <v>149</v>
      </c>
      <c r="C112" s="542" t="s">
        <v>809</v>
      </c>
      <c r="D112" s="464" t="s">
        <v>90</v>
      </c>
      <c r="E112" s="379">
        <v>4</v>
      </c>
      <c r="F112" s="261"/>
      <c r="G112" s="261"/>
      <c r="H112" s="262"/>
      <c r="I112" s="262"/>
      <c r="J112" s="262"/>
      <c r="K112" s="263"/>
      <c r="L112" s="261"/>
      <c r="M112" s="263"/>
      <c r="N112" s="263"/>
      <c r="O112" s="263"/>
      <c r="P112" s="263"/>
      <c r="Q112" s="108"/>
    </row>
    <row r="113" spans="1:17" s="68" customFormat="1" ht="27" customHeight="1">
      <c r="A113" s="378">
        <f t="shared" si="1"/>
        <v>97</v>
      </c>
      <c r="B113" s="378" t="s">
        <v>149</v>
      </c>
      <c r="C113" s="542" t="s">
        <v>810</v>
      </c>
      <c r="D113" s="464" t="s">
        <v>90</v>
      </c>
      <c r="E113" s="379">
        <v>3</v>
      </c>
      <c r="F113" s="261"/>
      <c r="G113" s="261"/>
      <c r="H113" s="262"/>
      <c r="I113" s="262"/>
      <c r="J113" s="262"/>
      <c r="K113" s="263"/>
      <c r="L113" s="261"/>
      <c r="M113" s="263"/>
      <c r="N113" s="263"/>
      <c r="O113" s="263"/>
      <c r="P113" s="263"/>
      <c r="Q113" s="108"/>
    </row>
    <row r="114" spans="1:17" s="68" customFormat="1" ht="27" customHeight="1">
      <c r="A114" s="378">
        <f t="shared" si="1"/>
        <v>98</v>
      </c>
      <c r="B114" s="378" t="s">
        <v>149</v>
      </c>
      <c r="C114" s="542" t="s">
        <v>811</v>
      </c>
      <c r="D114" s="464" t="s">
        <v>90</v>
      </c>
      <c r="E114" s="379">
        <v>11</v>
      </c>
      <c r="F114" s="261"/>
      <c r="G114" s="261"/>
      <c r="H114" s="262"/>
      <c r="I114" s="262"/>
      <c r="J114" s="262"/>
      <c r="K114" s="263"/>
      <c r="L114" s="261"/>
      <c r="M114" s="263"/>
      <c r="N114" s="263"/>
      <c r="O114" s="263"/>
      <c r="P114" s="263"/>
      <c r="Q114" s="108"/>
    </row>
    <row r="115" spans="1:17" s="68" customFormat="1" ht="27" customHeight="1">
      <c r="A115" s="378">
        <f t="shared" si="1"/>
        <v>99</v>
      </c>
      <c r="B115" s="378" t="s">
        <v>149</v>
      </c>
      <c r="C115" s="542" t="s">
        <v>812</v>
      </c>
      <c r="D115" s="464" t="s">
        <v>90</v>
      </c>
      <c r="E115" s="379">
        <v>6</v>
      </c>
      <c r="F115" s="261"/>
      <c r="G115" s="261"/>
      <c r="H115" s="262"/>
      <c r="I115" s="262"/>
      <c r="J115" s="262"/>
      <c r="K115" s="263"/>
      <c r="L115" s="261"/>
      <c r="M115" s="263"/>
      <c r="N115" s="263"/>
      <c r="O115" s="263"/>
      <c r="P115" s="263"/>
      <c r="Q115" s="108"/>
    </row>
    <row r="116" spans="1:17" s="68" customFormat="1" ht="27" customHeight="1">
      <c r="A116" s="378">
        <f t="shared" si="1"/>
        <v>100</v>
      </c>
      <c r="B116" s="378" t="s">
        <v>149</v>
      </c>
      <c r="C116" s="542" t="s">
        <v>813</v>
      </c>
      <c r="D116" s="464" t="s">
        <v>90</v>
      </c>
      <c r="E116" s="379">
        <v>11</v>
      </c>
      <c r="F116" s="261"/>
      <c r="G116" s="261"/>
      <c r="H116" s="262"/>
      <c r="I116" s="262"/>
      <c r="J116" s="262"/>
      <c r="K116" s="263"/>
      <c r="L116" s="261"/>
      <c r="M116" s="263"/>
      <c r="N116" s="263"/>
      <c r="O116" s="263"/>
      <c r="P116" s="263"/>
      <c r="Q116" s="108"/>
    </row>
    <row r="117" spans="1:17" s="68" customFormat="1" ht="27" customHeight="1">
      <c r="A117" s="378">
        <f t="shared" si="1"/>
        <v>101</v>
      </c>
      <c r="B117" s="378" t="s">
        <v>149</v>
      </c>
      <c r="C117" s="542" t="s">
        <v>814</v>
      </c>
      <c r="D117" s="464" t="s">
        <v>90</v>
      </c>
      <c r="E117" s="379">
        <v>7</v>
      </c>
      <c r="F117" s="261"/>
      <c r="G117" s="261"/>
      <c r="H117" s="262"/>
      <c r="I117" s="262"/>
      <c r="J117" s="262"/>
      <c r="K117" s="263"/>
      <c r="L117" s="261"/>
      <c r="M117" s="263"/>
      <c r="N117" s="263"/>
      <c r="O117" s="263"/>
      <c r="P117" s="263"/>
      <c r="Q117" s="108"/>
    </row>
    <row r="118" spans="1:17" s="68" customFormat="1" ht="27" customHeight="1">
      <c r="A118" s="378">
        <f t="shared" si="1"/>
        <v>102</v>
      </c>
      <c r="B118" s="378" t="s">
        <v>149</v>
      </c>
      <c r="C118" s="542" t="s">
        <v>815</v>
      </c>
      <c r="D118" s="464" t="s">
        <v>90</v>
      </c>
      <c r="E118" s="379">
        <v>18</v>
      </c>
      <c r="F118" s="261"/>
      <c r="G118" s="261"/>
      <c r="H118" s="262"/>
      <c r="I118" s="262"/>
      <c r="J118" s="262"/>
      <c r="K118" s="263"/>
      <c r="L118" s="261"/>
      <c r="M118" s="263"/>
      <c r="N118" s="263"/>
      <c r="O118" s="263"/>
      <c r="P118" s="263"/>
      <c r="Q118" s="108"/>
    </row>
    <row r="119" spans="1:17" s="68" customFormat="1" ht="27" customHeight="1">
      <c r="A119" s="378">
        <f t="shared" si="1"/>
        <v>103</v>
      </c>
      <c r="B119" s="378" t="s">
        <v>149</v>
      </c>
      <c r="C119" s="542" t="s">
        <v>816</v>
      </c>
      <c r="D119" s="464" t="s">
        <v>90</v>
      </c>
      <c r="E119" s="379">
        <v>21</v>
      </c>
      <c r="F119" s="261"/>
      <c r="G119" s="261"/>
      <c r="H119" s="262"/>
      <c r="I119" s="262"/>
      <c r="J119" s="262"/>
      <c r="K119" s="263"/>
      <c r="L119" s="261"/>
      <c r="M119" s="263"/>
      <c r="N119" s="263"/>
      <c r="O119" s="263"/>
      <c r="P119" s="263"/>
      <c r="Q119" s="108"/>
    </row>
    <row r="120" spans="1:17" s="68" customFormat="1" ht="27" customHeight="1">
      <c r="A120" s="378">
        <f t="shared" si="1"/>
        <v>104</v>
      </c>
      <c r="B120" s="378" t="s">
        <v>149</v>
      </c>
      <c r="C120" s="542" t="s">
        <v>817</v>
      </c>
      <c r="D120" s="464" t="s">
        <v>90</v>
      </c>
      <c r="E120" s="379">
        <v>9</v>
      </c>
      <c r="F120" s="261"/>
      <c r="G120" s="261"/>
      <c r="H120" s="262"/>
      <c r="I120" s="262"/>
      <c r="J120" s="262"/>
      <c r="K120" s="263"/>
      <c r="L120" s="261"/>
      <c r="M120" s="263"/>
      <c r="N120" s="263"/>
      <c r="O120" s="263"/>
      <c r="P120" s="263"/>
      <c r="Q120" s="108"/>
    </row>
    <row r="121" spans="1:17" s="68" customFormat="1" ht="27" customHeight="1">
      <c r="A121" s="378">
        <f t="shared" si="1"/>
        <v>105</v>
      </c>
      <c r="B121" s="378" t="s">
        <v>149</v>
      </c>
      <c r="C121" s="542" t="s">
        <v>818</v>
      </c>
      <c r="D121" s="464" t="s">
        <v>90</v>
      </c>
      <c r="E121" s="379">
        <v>4</v>
      </c>
      <c r="F121" s="261"/>
      <c r="G121" s="261"/>
      <c r="H121" s="262"/>
      <c r="I121" s="262"/>
      <c r="J121" s="262"/>
      <c r="K121" s="263"/>
      <c r="L121" s="261"/>
      <c r="M121" s="263"/>
      <c r="N121" s="263"/>
      <c r="O121" s="263"/>
      <c r="P121" s="263"/>
      <c r="Q121" s="108"/>
    </row>
    <row r="122" spans="1:17" s="68" customFormat="1" ht="27" customHeight="1">
      <c r="A122" s="378">
        <f t="shared" si="1"/>
        <v>106</v>
      </c>
      <c r="B122" s="378" t="s">
        <v>149</v>
      </c>
      <c r="C122" s="542" t="s">
        <v>819</v>
      </c>
      <c r="D122" s="464" t="s">
        <v>90</v>
      </c>
      <c r="E122" s="379">
        <v>35</v>
      </c>
      <c r="F122" s="261"/>
      <c r="G122" s="261"/>
      <c r="H122" s="262"/>
      <c r="I122" s="262"/>
      <c r="J122" s="262"/>
      <c r="K122" s="263"/>
      <c r="L122" s="261"/>
      <c r="M122" s="263"/>
      <c r="N122" s="263"/>
      <c r="O122" s="263"/>
      <c r="P122" s="263"/>
      <c r="Q122" s="108"/>
    </row>
    <row r="123" spans="1:17" s="68" customFormat="1" ht="27" customHeight="1">
      <c r="A123" s="378">
        <f t="shared" si="1"/>
        <v>107</v>
      </c>
      <c r="B123" s="378" t="s">
        <v>149</v>
      </c>
      <c r="C123" s="542" t="s">
        <v>820</v>
      </c>
      <c r="D123" s="464" t="s">
        <v>90</v>
      </c>
      <c r="E123" s="379">
        <v>5</v>
      </c>
      <c r="F123" s="261"/>
      <c r="G123" s="261"/>
      <c r="H123" s="262"/>
      <c r="I123" s="262"/>
      <c r="J123" s="262"/>
      <c r="K123" s="263"/>
      <c r="L123" s="261"/>
      <c r="M123" s="263"/>
      <c r="N123" s="263"/>
      <c r="O123" s="263"/>
      <c r="P123" s="263"/>
      <c r="Q123" s="108"/>
    </row>
    <row r="124" spans="1:17" s="68" customFormat="1" ht="27" customHeight="1">
      <c r="A124" s="378">
        <f t="shared" si="1"/>
        <v>108</v>
      </c>
      <c r="B124" s="378" t="s">
        <v>149</v>
      </c>
      <c r="C124" s="542" t="s">
        <v>821</v>
      </c>
      <c r="D124" s="464" t="s">
        <v>90</v>
      </c>
      <c r="E124" s="379">
        <v>15</v>
      </c>
      <c r="F124" s="261"/>
      <c r="G124" s="261"/>
      <c r="H124" s="262"/>
      <c r="I124" s="262"/>
      <c r="J124" s="262"/>
      <c r="K124" s="263"/>
      <c r="L124" s="261"/>
      <c r="M124" s="263"/>
      <c r="N124" s="263"/>
      <c r="O124" s="263"/>
      <c r="P124" s="263"/>
      <c r="Q124" s="108"/>
    </row>
    <row r="125" spans="1:17" s="68" customFormat="1" ht="36.75" customHeight="1">
      <c r="A125" s="378">
        <f t="shared" si="1"/>
        <v>109</v>
      </c>
      <c r="B125" s="378" t="s">
        <v>149</v>
      </c>
      <c r="C125" s="542" t="s">
        <v>822</v>
      </c>
      <c r="D125" s="464" t="s">
        <v>90</v>
      </c>
      <c r="E125" s="379">
        <v>37</v>
      </c>
      <c r="F125" s="261"/>
      <c r="G125" s="261"/>
      <c r="H125" s="262"/>
      <c r="I125" s="262"/>
      <c r="J125" s="262"/>
      <c r="K125" s="263"/>
      <c r="L125" s="261"/>
      <c r="M125" s="263"/>
      <c r="N125" s="263"/>
      <c r="O125" s="263"/>
      <c r="P125" s="263"/>
      <c r="Q125" s="108"/>
    </row>
    <row r="126" spans="1:17" s="68" customFormat="1" ht="27" customHeight="1">
      <c r="A126" s="378">
        <f t="shared" si="1"/>
        <v>110</v>
      </c>
      <c r="B126" s="378" t="s">
        <v>149</v>
      </c>
      <c r="C126" s="542" t="s">
        <v>823</v>
      </c>
      <c r="D126" s="464" t="s">
        <v>90</v>
      </c>
      <c r="E126" s="379">
        <v>23</v>
      </c>
      <c r="F126" s="261"/>
      <c r="G126" s="261"/>
      <c r="H126" s="262"/>
      <c r="I126" s="262"/>
      <c r="J126" s="262"/>
      <c r="K126" s="263"/>
      <c r="L126" s="261"/>
      <c r="M126" s="263"/>
      <c r="N126" s="263"/>
      <c r="O126" s="263"/>
      <c r="P126" s="263"/>
      <c r="Q126" s="108"/>
    </row>
    <row r="127" spans="1:17" s="68" customFormat="1" ht="15" customHeight="1">
      <c r="A127" s="378">
        <f t="shared" si="1"/>
        <v>111</v>
      </c>
      <c r="B127" s="378" t="s">
        <v>149</v>
      </c>
      <c r="C127" s="542" t="s">
        <v>824</v>
      </c>
      <c r="D127" s="464" t="s">
        <v>90</v>
      </c>
      <c r="E127" s="379">
        <v>8</v>
      </c>
      <c r="F127" s="261"/>
      <c r="G127" s="261"/>
      <c r="H127" s="262"/>
      <c r="I127" s="262"/>
      <c r="J127" s="262"/>
      <c r="K127" s="263"/>
      <c r="L127" s="261"/>
      <c r="M127" s="263"/>
      <c r="N127" s="263"/>
      <c r="O127" s="263"/>
      <c r="P127" s="263"/>
      <c r="Q127" s="108"/>
    </row>
    <row r="128" spans="1:17" s="68" customFormat="1" ht="15" customHeight="1">
      <c r="A128" s="378">
        <f t="shared" si="1"/>
        <v>112</v>
      </c>
      <c r="B128" s="378" t="s">
        <v>149</v>
      </c>
      <c r="C128" s="542" t="s">
        <v>825</v>
      </c>
      <c r="D128" s="464" t="s">
        <v>90</v>
      </c>
      <c r="E128" s="379">
        <v>29</v>
      </c>
      <c r="F128" s="261"/>
      <c r="G128" s="261"/>
      <c r="H128" s="262"/>
      <c r="I128" s="262"/>
      <c r="J128" s="262"/>
      <c r="K128" s="263"/>
      <c r="L128" s="261"/>
      <c r="M128" s="263"/>
      <c r="N128" s="263"/>
      <c r="O128" s="263"/>
      <c r="P128" s="263"/>
      <c r="Q128" s="108"/>
    </row>
    <row r="129" spans="1:17" s="68" customFormat="1" ht="15" customHeight="1">
      <c r="A129" s="378">
        <f t="shared" si="1"/>
        <v>113</v>
      </c>
      <c r="B129" s="378" t="s">
        <v>149</v>
      </c>
      <c r="C129" s="542" t="s">
        <v>826</v>
      </c>
      <c r="D129" s="464" t="s">
        <v>90</v>
      </c>
      <c r="E129" s="379">
        <v>3</v>
      </c>
      <c r="F129" s="261"/>
      <c r="G129" s="261"/>
      <c r="H129" s="262"/>
      <c r="I129" s="262"/>
      <c r="J129" s="262"/>
      <c r="K129" s="263"/>
      <c r="L129" s="261"/>
      <c r="M129" s="263"/>
      <c r="N129" s="263"/>
      <c r="O129" s="263"/>
      <c r="P129" s="263"/>
      <c r="Q129" s="108"/>
    </row>
    <row r="130" spans="1:17" s="68" customFormat="1" ht="21.75" customHeight="1">
      <c r="A130" s="378">
        <f t="shared" si="1"/>
        <v>114</v>
      </c>
      <c r="B130" s="378" t="s">
        <v>149</v>
      </c>
      <c r="C130" s="542" t="s">
        <v>827</v>
      </c>
      <c r="D130" s="464" t="s">
        <v>90</v>
      </c>
      <c r="E130" s="379">
        <v>1</v>
      </c>
      <c r="F130" s="261"/>
      <c r="G130" s="261"/>
      <c r="H130" s="262"/>
      <c r="I130" s="262"/>
      <c r="J130" s="262"/>
      <c r="K130" s="263"/>
      <c r="L130" s="261"/>
      <c r="M130" s="263"/>
      <c r="N130" s="263"/>
      <c r="O130" s="263"/>
      <c r="P130" s="263"/>
      <c r="Q130" s="108"/>
    </row>
    <row r="131" spans="1:17" s="68" customFormat="1" ht="15" customHeight="1">
      <c r="A131" s="378">
        <f t="shared" si="1"/>
        <v>115</v>
      </c>
      <c r="B131" s="378" t="s">
        <v>149</v>
      </c>
      <c r="C131" s="542" t="s">
        <v>828</v>
      </c>
      <c r="D131" s="464"/>
      <c r="E131" s="379"/>
      <c r="F131" s="261"/>
      <c r="G131" s="261"/>
      <c r="H131" s="262"/>
      <c r="I131" s="262"/>
      <c r="J131" s="262"/>
      <c r="K131" s="263"/>
      <c r="L131" s="261"/>
      <c r="M131" s="263"/>
      <c r="N131" s="263"/>
      <c r="O131" s="263"/>
      <c r="P131" s="263"/>
      <c r="Q131" s="108"/>
    </row>
    <row r="132" spans="1:17" s="68" customFormat="1" ht="15" customHeight="1">
      <c r="A132" s="378">
        <f t="shared" si="1"/>
        <v>116</v>
      </c>
      <c r="B132" s="378" t="s">
        <v>149</v>
      </c>
      <c r="C132" s="542" t="s">
        <v>829</v>
      </c>
      <c r="D132" s="464" t="s">
        <v>728</v>
      </c>
      <c r="E132" s="379">
        <v>22</v>
      </c>
      <c r="F132" s="261"/>
      <c r="G132" s="261"/>
      <c r="H132" s="262"/>
      <c r="I132" s="262"/>
      <c r="J132" s="262"/>
      <c r="K132" s="263"/>
      <c r="L132" s="261"/>
      <c r="M132" s="263"/>
      <c r="N132" s="263"/>
      <c r="O132" s="263"/>
      <c r="P132" s="263"/>
      <c r="Q132" s="108"/>
    </row>
    <row r="133" spans="1:17" s="68" customFormat="1" ht="15" customHeight="1">
      <c r="A133" s="378">
        <f t="shared" si="1"/>
        <v>117</v>
      </c>
      <c r="B133" s="378" t="s">
        <v>149</v>
      </c>
      <c r="C133" s="542" t="s">
        <v>830</v>
      </c>
      <c r="D133" s="464" t="s">
        <v>90</v>
      </c>
      <c r="E133" s="379">
        <v>2</v>
      </c>
      <c r="F133" s="261"/>
      <c r="G133" s="261"/>
      <c r="H133" s="262"/>
      <c r="I133" s="262"/>
      <c r="J133" s="262"/>
      <c r="K133" s="263"/>
      <c r="L133" s="261"/>
      <c r="M133" s="263"/>
      <c r="N133" s="263"/>
      <c r="O133" s="263"/>
      <c r="P133" s="263"/>
      <c r="Q133" s="108"/>
    </row>
    <row r="134" spans="1:17" s="68" customFormat="1" ht="15" customHeight="1">
      <c r="A134" s="378">
        <f t="shared" si="1"/>
        <v>118</v>
      </c>
      <c r="B134" s="378" t="s">
        <v>149</v>
      </c>
      <c r="C134" s="542" t="s">
        <v>831</v>
      </c>
      <c r="D134" s="464" t="s">
        <v>728</v>
      </c>
      <c r="E134" s="379">
        <v>68</v>
      </c>
      <c r="F134" s="261"/>
      <c r="G134" s="261"/>
      <c r="H134" s="262"/>
      <c r="I134" s="262"/>
      <c r="J134" s="262"/>
      <c r="K134" s="263"/>
      <c r="L134" s="261"/>
      <c r="M134" s="263"/>
      <c r="N134" s="263"/>
      <c r="O134" s="263"/>
      <c r="P134" s="263"/>
      <c r="Q134" s="108"/>
    </row>
    <row r="135" spans="1:17" s="68" customFormat="1" ht="15" customHeight="1">
      <c r="A135" s="378">
        <f t="shared" si="1"/>
        <v>119</v>
      </c>
      <c r="B135" s="378" t="s">
        <v>149</v>
      </c>
      <c r="C135" s="542" t="s">
        <v>832</v>
      </c>
      <c r="D135" s="464" t="s">
        <v>90</v>
      </c>
      <c r="E135" s="379">
        <v>2</v>
      </c>
      <c r="F135" s="261"/>
      <c r="G135" s="261"/>
      <c r="H135" s="262"/>
      <c r="I135" s="262"/>
      <c r="J135" s="262"/>
      <c r="K135" s="263"/>
      <c r="L135" s="261"/>
      <c r="M135" s="263"/>
      <c r="N135" s="263"/>
      <c r="O135" s="263"/>
      <c r="P135" s="263"/>
      <c r="Q135" s="108"/>
    </row>
    <row r="136" spans="1:17" s="68" customFormat="1" ht="15" customHeight="1">
      <c r="A136" s="378">
        <f t="shared" si="1"/>
        <v>120</v>
      </c>
      <c r="B136" s="378" t="s">
        <v>149</v>
      </c>
      <c r="C136" s="542" t="s">
        <v>833</v>
      </c>
      <c r="D136" s="464" t="s">
        <v>728</v>
      </c>
      <c r="E136" s="379">
        <v>30</v>
      </c>
      <c r="F136" s="261"/>
      <c r="G136" s="261"/>
      <c r="H136" s="262"/>
      <c r="I136" s="262"/>
      <c r="J136" s="262"/>
      <c r="K136" s="263"/>
      <c r="L136" s="261"/>
      <c r="M136" s="263"/>
      <c r="N136" s="263"/>
      <c r="O136" s="263"/>
      <c r="P136" s="263"/>
      <c r="Q136" s="108"/>
    </row>
    <row r="137" spans="1:17" s="68" customFormat="1" ht="15" customHeight="1">
      <c r="A137" s="378">
        <f t="shared" si="1"/>
        <v>121</v>
      </c>
      <c r="B137" s="378" t="s">
        <v>149</v>
      </c>
      <c r="C137" s="542" t="s">
        <v>834</v>
      </c>
      <c r="D137" s="464" t="s">
        <v>728</v>
      </c>
      <c r="E137" s="379">
        <v>114</v>
      </c>
      <c r="F137" s="261"/>
      <c r="G137" s="261"/>
      <c r="H137" s="262"/>
      <c r="I137" s="262"/>
      <c r="J137" s="262"/>
      <c r="K137" s="263"/>
      <c r="L137" s="261"/>
      <c r="M137" s="263"/>
      <c r="N137" s="263"/>
      <c r="O137" s="263"/>
      <c r="P137" s="263"/>
      <c r="Q137" s="108"/>
    </row>
    <row r="138" spans="1:17" s="68" customFormat="1" ht="15" customHeight="1">
      <c r="A138" s="378">
        <f t="shared" si="1"/>
        <v>122</v>
      </c>
      <c r="B138" s="378" t="s">
        <v>149</v>
      </c>
      <c r="C138" s="542" t="s">
        <v>835</v>
      </c>
      <c r="D138" s="464" t="s">
        <v>90</v>
      </c>
      <c r="E138" s="379">
        <v>6</v>
      </c>
      <c r="F138" s="261"/>
      <c r="G138" s="261"/>
      <c r="H138" s="262"/>
      <c r="I138" s="262"/>
      <c r="J138" s="262"/>
      <c r="K138" s="263"/>
      <c r="L138" s="261"/>
      <c r="M138" s="263"/>
      <c r="N138" s="263"/>
      <c r="O138" s="263"/>
      <c r="P138" s="263"/>
      <c r="Q138" s="108"/>
    </row>
    <row r="139" spans="1:17" s="68" customFormat="1" ht="15" customHeight="1">
      <c r="A139" s="378">
        <f t="shared" si="1"/>
        <v>123</v>
      </c>
      <c r="B139" s="378" t="s">
        <v>149</v>
      </c>
      <c r="C139" s="542" t="s">
        <v>836</v>
      </c>
      <c r="D139" s="464" t="s">
        <v>93</v>
      </c>
      <c r="E139" s="379">
        <v>3</v>
      </c>
      <c r="F139" s="261"/>
      <c r="G139" s="261"/>
      <c r="H139" s="262"/>
      <c r="I139" s="262"/>
      <c r="J139" s="262"/>
      <c r="K139" s="263"/>
      <c r="L139" s="261"/>
      <c r="M139" s="263"/>
      <c r="N139" s="263"/>
      <c r="O139" s="263"/>
      <c r="P139" s="263"/>
      <c r="Q139" s="108"/>
    </row>
    <row r="140" spans="1:17" s="68" customFormat="1" ht="15" customHeight="1">
      <c r="A140" s="378">
        <f t="shared" si="1"/>
        <v>124</v>
      </c>
      <c r="B140" s="378" t="s">
        <v>149</v>
      </c>
      <c r="C140" s="542" t="s">
        <v>837</v>
      </c>
      <c r="D140" s="464" t="s">
        <v>93</v>
      </c>
      <c r="E140" s="379">
        <v>3</v>
      </c>
      <c r="F140" s="261"/>
      <c r="G140" s="261"/>
      <c r="H140" s="262"/>
      <c r="I140" s="262"/>
      <c r="J140" s="262"/>
      <c r="K140" s="263"/>
      <c r="L140" s="261"/>
      <c r="M140" s="263"/>
      <c r="N140" s="263"/>
      <c r="O140" s="263"/>
      <c r="P140" s="263"/>
      <c r="Q140" s="108"/>
    </row>
    <row r="141" spans="1:17" s="68" customFormat="1" ht="15" customHeight="1">
      <c r="A141" s="378">
        <f t="shared" si="1"/>
        <v>125</v>
      </c>
      <c r="B141" s="378" t="s">
        <v>149</v>
      </c>
      <c r="C141" s="542" t="s">
        <v>838</v>
      </c>
      <c r="D141" s="464"/>
      <c r="E141" s="379"/>
      <c r="F141" s="261"/>
      <c r="G141" s="261"/>
      <c r="H141" s="262"/>
      <c r="I141" s="262"/>
      <c r="J141" s="262"/>
      <c r="K141" s="263"/>
      <c r="L141" s="261"/>
      <c r="M141" s="263"/>
      <c r="N141" s="263"/>
      <c r="O141" s="263"/>
      <c r="P141" s="263"/>
      <c r="Q141" s="108"/>
    </row>
    <row r="142" spans="1:17" s="68" customFormat="1">
      <c r="A142" s="378">
        <f t="shared" si="1"/>
        <v>126</v>
      </c>
      <c r="B142" s="378" t="s">
        <v>149</v>
      </c>
      <c r="C142" s="542" t="s">
        <v>839</v>
      </c>
      <c r="D142" s="464" t="s">
        <v>93</v>
      </c>
      <c r="E142" s="379">
        <v>30</v>
      </c>
      <c r="F142" s="261"/>
      <c r="G142" s="261"/>
      <c r="H142" s="262"/>
      <c r="I142" s="262"/>
      <c r="J142" s="262"/>
      <c r="K142" s="263"/>
      <c r="L142" s="261"/>
      <c r="M142" s="263"/>
      <c r="N142" s="263"/>
      <c r="O142" s="263"/>
      <c r="P142" s="263"/>
      <c r="Q142" s="108"/>
    </row>
    <row r="143" spans="1:17" s="68" customFormat="1" ht="15" customHeight="1">
      <c r="A143" s="378">
        <f t="shared" si="1"/>
        <v>127</v>
      </c>
      <c r="B143" s="378" t="s">
        <v>149</v>
      </c>
      <c r="C143" s="542" t="s">
        <v>840</v>
      </c>
      <c r="D143" s="464" t="s">
        <v>93</v>
      </c>
      <c r="E143" s="379">
        <v>130</v>
      </c>
      <c r="F143" s="261"/>
      <c r="G143" s="261"/>
      <c r="H143" s="262"/>
      <c r="I143" s="262"/>
      <c r="J143" s="262"/>
      <c r="K143" s="263"/>
      <c r="L143" s="261"/>
      <c r="M143" s="263"/>
      <c r="N143" s="263"/>
      <c r="O143" s="263"/>
      <c r="P143" s="263"/>
      <c r="Q143" s="108"/>
    </row>
    <row r="144" spans="1:17" s="68" customFormat="1" ht="24" customHeight="1">
      <c r="A144" s="378">
        <f t="shared" ref="A144:A167" si="2">A143+1</f>
        <v>128</v>
      </c>
      <c r="B144" s="378" t="s">
        <v>149</v>
      </c>
      <c r="C144" s="542" t="s">
        <v>841</v>
      </c>
      <c r="D144" s="464" t="s">
        <v>93</v>
      </c>
      <c r="E144" s="379">
        <v>36</v>
      </c>
      <c r="F144" s="261"/>
      <c r="G144" s="261"/>
      <c r="H144" s="262"/>
      <c r="I144" s="262"/>
      <c r="J144" s="262"/>
      <c r="K144" s="263"/>
      <c r="L144" s="261"/>
      <c r="M144" s="263"/>
      <c r="N144" s="263"/>
      <c r="O144" s="263"/>
      <c r="P144" s="263"/>
      <c r="Q144" s="108"/>
    </row>
    <row r="145" spans="1:17" s="68" customFormat="1" ht="15" customHeight="1">
      <c r="A145" s="378">
        <f t="shared" si="2"/>
        <v>129</v>
      </c>
      <c r="B145" s="378" t="s">
        <v>149</v>
      </c>
      <c r="C145" s="542" t="s">
        <v>842</v>
      </c>
      <c r="D145" s="464" t="s">
        <v>93</v>
      </c>
      <c r="E145" s="379">
        <v>12</v>
      </c>
      <c r="F145" s="261"/>
      <c r="G145" s="261"/>
      <c r="H145" s="262"/>
      <c r="I145" s="262"/>
      <c r="J145" s="262"/>
      <c r="K145" s="263"/>
      <c r="L145" s="261"/>
      <c r="M145" s="263"/>
      <c r="N145" s="263"/>
      <c r="O145" s="263"/>
      <c r="P145" s="263"/>
      <c r="Q145" s="108"/>
    </row>
    <row r="146" spans="1:17" s="68" customFormat="1" ht="23.25" customHeight="1">
      <c r="A146" s="378">
        <f t="shared" si="2"/>
        <v>130</v>
      </c>
      <c r="B146" s="378" t="s">
        <v>149</v>
      </c>
      <c r="C146" s="542" t="s">
        <v>843</v>
      </c>
      <c r="D146" s="464" t="s">
        <v>93</v>
      </c>
      <c r="E146" s="379">
        <v>700</v>
      </c>
      <c r="F146" s="261"/>
      <c r="G146" s="261"/>
      <c r="H146" s="262"/>
      <c r="I146" s="262"/>
      <c r="J146" s="262"/>
      <c r="K146" s="263"/>
      <c r="L146" s="261"/>
      <c r="M146" s="263"/>
      <c r="N146" s="263"/>
      <c r="O146" s="263"/>
      <c r="P146" s="263"/>
      <c r="Q146" s="108"/>
    </row>
    <row r="147" spans="1:17" s="68" customFormat="1" ht="24.75" customHeight="1">
      <c r="A147" s="378">
        <f t="shared" si="2"/>
        <v>131</v>
      </c>
      <c r="B147" s="378" t="s">
        <v>149</v>
      </c>
      <c r="C147" s="542" t="s">
        <v>844</v>
      </c>
      <c r="D147" s="464" t="s">
        <v>93</v>
      </c>
      <c r="E147" s="379">
        <v>260</v>
      </c>
      <c r="F147" s="261"/>
      <c r="G147" s="261"/>
      <c r="H147" s="262"/>
      <c r="I147" s="262"/>
      <c r="J147" s="262"/>
      <c r="K147" s="263"/>
      <c r="L147" s="261"/>
      <c r="M147" s="263"/>
      <c r="N147" s="263"/>
      <c r="O147" s="263"/>
      <c r="P147" s="263"/>
      <c r="Q147" s="108"/>
    </row>
    <row r="148" spans="1:17" s="68" customFormat="1" ht="15" customHeight="1">
      <c r="A148" s="378">
        <f t="shared" si="2"/>
        <v>132</v>
      </c>
      <c r="B148" s="378" t="s">
        <v>149</v>
      </c>
      <c r="C148" s="542" t="s">
        <v>845</v>
      </c>
      <c r="D148" s="464" t="s">
        <v>93</v>
      </c>
      <c r="E148" s="379">
        <v>30</v>
      </c>
      <c r="F148" s="261"/>
      <c r="G148" s="261"/>
      <c r="H148" s="262"/>
      <c r="I148" s="262"/>
      <c r="J148" s="262"/>
      <c r="K148" s="263"/>
      <c r="L148" s="261"/>
      <c r="M148" s="263"/>
      <c r="N148" s="263"/>
      <c r="O148" s="263"/>
      <c r="P148" s="263"/>
      <c r="Q148" s="108"/>
    </row>
    <row r="149" spans="1:17" s="68" customFormat="1">
      <c r="A149" s="378">
        <f t="shared" si="2"/>
        <v>133</v>
      </c>
      <c r="B149" s="378" t="s">
        <v>149</v>
      </c>
      <c r="C149" s="542" t="s">
        <v>846</v>
      </c>
      <c r="D149" s="464" t="s">
        <v>728</v>
      </c>
      <c r="E149" s="379">
        <v>110</v>
      </c>
      <c r="F149" s="261"/>
      <c r="G149" s="261"/>
      <c r="H149" s="262"/>
      <c r="I149" s="262"/>
      <c r="J149" s="262"/>
      <c r="K149" s="263"/>
      <c r="L149" s="261"/>
      <c r="M149" s="263"/>
      <c r="N149" s="263"/>
      <c r="O149" s="263"/>
      <c r="P149" s="263"/>
      <c r="Q149" s="108"/>
    </row>
    <row r="150" spans="1:17" s="68" customFormat="1" ht="15" customHeight="1">
      <c r="A150" s="378">
        <f t="shared" si="2"/>
        <v>134</v>
      </c>
      <c r="B150" s="378" t="s">
        <v>149</v>
      </c>
      <c r="C150" s="542" t="s">
        <v>847</v>
      </c>
      <c r="D150" s="464" t="s">
        <v>728</v>
      </c>
      <c r="E150" s="379">
        <v>800</v>
      </c>
      <c r="F150" s="261"/>
      <c r="G150" s="261"/>
      <c r="H150" s="262"/>
      <c r="I150" s="262"/>
      <c r="J150" s="262"/>
      <c r="K150" s="263"/>
      <c r="L150" s="261"/>
      <c r="M150" s="263"/>
      <c r="N150" s="263"/>
      <c r="O150" s="263"/>
      <c r="P150" s="263"/>
      <c r="Q150" s="108"/>
    </row>
    <row r="151" spans="1:17" s="68" customFormat="1" ht="15" customHeight="1">
      <c r="A151" s="378">
        <f t="shared" si="2"/>
        <v>135</v>
      </c>
      <c r="B151" s="378" t="s">
        <v>149</v>
      </c>
      <c r="C151" s="542" t="s">
        <v>848</v>
      </c>
      <c r="D151" s="464" t="s">
        <v>728</v>
      </c>
      <c r="E151" s="379">
        <v>60</v>
      </c>
      <c r="F151" s="261"/>
      <c r="G151" s="261"/>
      <c r="H151" s="262"/>
      <c r="I151" s="262"/>
      <c r="J151" s="262"/>
      <c r="K151" s="263"/>
      <c r="L151" s="261"/>
      <c r="M151" s="263"/>
      <c r="N151" s="263"/>
      <c r="O151" s="263"/>
      <c r="P151" s="263"/>
      <c r="Q151" s="108"/>
    </row>
    <row r="152" spans="1:17" s="68" customFormat="1" ht="26.25" customHeight="1">
      <c r="A152" s="378">
        <f t="shared" si="2"/>
        <v>136</v>
      </c>
      <c r="B152" s="378" t="s">
        <v>149</v>
      </c>
      <c r="C152" s="542" t="s">
        <v>849</v>
      </c>
      <c r="D152" s="464" t="s">
        <v>728</v>
      </c>
      <c r="E152" s="379">
        <v>200</v>
      </c>
      <c r="F152" s="261"/>
      <c r="G152" s="261"/>
      <c r="H152" s="262"/>
      <c r="I152" s="262"/>
      <c r="J152" s="262"/>
      <c r="K152" s="263"/>
      <c r="L152" s="261"/>
      <c r="M152" s="263"/>
      <c r="N152" s="263"/>
      <c r="O152" s="263"/>
      <c r="P152" s="263"/>
      <c r="Q152" s="108"/>
    </row>
    <row r="153" spans="1:17" s="68" customFormat="1" ht="26.25" customHeight="1">
      <c r="A153" s="378">
        <f t="shared" si="2"/>
        <v>137</v>
      </c>
      <c r="B153" s="378" t="s">
        <v>149</v>
      </c>
      <c r="C153" s="542" t="s">
        <v>850</v>
      </c>
      <c r="D153" s="464" t="s">
        <v>93</v>
      </c>
      <c r="E153" s="379">
        <v>88</v>
      </c>
      <c r="F153" s="261"/>
      <c r="G153" s="261"/>
      <c r="H153" s="262"/>
      <c r="I153" s="262"/>
      <c r="J153" s="262"/>
      <c r="K153" s="263"/>
      <c r="L153" s="261"/>
      <c r="M153" s="263"/>
      <c r="N153" s="263"/>
      <c r="O153" s="263"/>
      <c r="P153" s="263"/>
      <c r="Q153" s="108"/>
    </row>
    <row r="154" spans="1:17" s="68" customFormat="1" ht="26.25" customHeight="1">
      <c r="A154" s="378">
        <f t="shared" si="2"/>
        <v>138</v>
      </c>
      <c r="B154" s="378" t="s">
        <v>149</v>
      </c>
      <c r="C154" s="542" t="s">
        <v>851</v>
      </c>
      <c r="D154" s="464" t="s">
        <v>93</v>
      </c>
      <c r="E154" s="379">
        <v>22</v>
      </c>
      <c r="F154" s="261"/>
      <c r="G154" s="261"/>
      <c r="H154" s="262"/>
      <c r="I154" s="262"/>
      <c r="J154" s="262"/>
      <c r="K154" s="263"/>
      <c r="L154" s="261"/>
      <c r="M154" s="263"/>
      <c r="N154" s="263"/>
      <c r="O154" s="263"/>
      <c r="P154" s="263"/>
      <c r="Q154" s="108"/>
    </row>
    <row r="155" spans="1:17" s="68" customFormat="1" ht="26.25" customHeight="1">
      <c r="A155" s="378">
        <f t="shared" si="2"/>
        <v>139</v>
      </c>
      <c r="B155" s="378" t="s">
        <v>149</v>
      </c>
      <c r="C155" s="542" t="s">
        <v>852</v>
      </c>
      <c r="D155" s="464" t="s">
        <v>93</v>
      </c>
      <c r="E155" s="379">
        <v>20</v>
      </c>
      <c r="F155" s="261"/>
      <c r="G155" s="261"/>
      <c r="H155" s="262"/>
      <c r="I155" s="262"/>
      <c r="J155" s="262"/>
      <c r="K155" s="263"/>
      <c r="L155" s="261"/>
      <c r="M155" s="263"/>
      <c r="N155" s="263"/>
      <c r="O155" s="263"/>
      <c r="P155" s="263"/>
      <c r="Q155" s="108"/>
    </row>
    <row r="156" spans="1:17" s="68" customFormat="1" ht="15" customHeight="1">
      <c r="A156" s="378">
        <f t="shared" si="2"/>
        <v>140</v>
      </c>
      <c r="B156" s="378" t="s">
        <v>149</v>
      </c>
      <c r="C156" s="542" t="s">
        <v>853</v>
      </c>
      <c r="D156" s="464" t="s">
        <v>93</v>
      </c>
      <c r="E156" s="379">
        <v>5</v>
      </c>
      <c r="F156" s="261"/>
      <c r="G156" s="261"/>
      <c r="H156" s="262"/>
      <c r="I156" s="262"/>
      <c r="J156" s="262"/>
      <c r="K156" s="263"/>
      <c r="L156" s="261"/>
      <c r="M156" s="263"/>
      <c r="N156" s="263"/>
      <c r="O156" s="263"/>
      <c r="P156" s="263"/>
      <c r="Q156" s="108"/>
    </row>
    <row r="157" spans="1:17" s="68" customFormat="1" ht="27" customHeight="1">
      <c r="A157" s="378">
        <f t="shared" si="2"/>
        <v>141</v>
      </c>
      <c r="B157" s="378" t="s">
        <v>149</v>
      </c>
      <c r="C157" s="542" t="s">
        <v>854</v>
      </c>
      <c r="D157" s="464" t="s">
        <v>93</v>
      </c>
      <c r="E157" s="379">
        <v>22</v>
      </c>
      <c r="F157" s="261"/>
      <c r="G157" s="261"/>
      <c r="H157" s="262"/>
      <c r="I157" s="262"/>
      <c r="J157" s="262"/>
      <c r="K157" s="263"/>
      <c r="L157" s="261"/>
      <c r="M157" s="263"/>
      <c r="N157" s="263"/>
      <c r="O157" s="263"/>
      <c r="P157" s="263"/>
      <c r="Q157" s="108"/>
    </row>
    <row r="158" spans="1:17" s="68" customFormat="1">
      <c r="A158" s="378">
        <f t="shared" si="2"/>
        <v>142</v>
      </c>
      <c r="B158" s="378" t="s">
        <v>149</v>
      </c>
      <c r="C158" s="542" t="s">
        <v>855</v>
      </c>
      <c r="D158" s="464" t="s">
        <v>90</v>
      </c>
      <c r="E158" s="379">
        <v>1</v>
      </c>
      <c r="F158" s="261"/>
      <c r="G158" s="261"/>
      <c r="H158" s="262"/>
      <c r="I158" s="262"/>
      <c r="J158" s="262"/>
      <c r="K158" s="263"/>
      <c r="L158" s="261"/>
      <c r="M158" s="263"/>
      <c r="N158" s="263"/>
      <c r="O158" s="263"/>
      <c r="P158" s="263"/>
      <c r="Q158" s="108"/>
    </row>
    <row r="159" spans="1:17" s="68" customFormat="1" ht="27" customHeight="1">
      <c r="A159" s="378">
        <f t="shared" si="2"/>
        <v>143</v>
      </c>
      <c r="B159" s="378" t="s">
        <v>149</v>
      </c>
      <c r="C159" s="542" t="s">
        <v>856</v>
      </c>
      <c r="D159" s="464" t="s">
        <v>93</v>
      </c>
      <c r="E159" s="379">
        <v>40</v>
      </c>
      <c r="F159" s="261"/>
      <c r="G159" s="261"/>
      <c r="H159" s="262"/>
      <c r="I159" s="262"/>
      <c r="J159" s="262"/>
      <c r="K159" s="263"/>
      <c r="L159" s="261"/>
      <c r="M159" s="263"/>
      <c r="N159" s="263"/>
      <c r="O159" s="263"/>
      <c r="P159" s="263"/>
      <c r="Q159" s="108"/>
    </row>
    <row r="160" spans="1:17" s="68" customFormat="1" ht="27" customHeight="1">
      <c r="A160" s="378">
        <f t="shared" si="2"/>
        <v>144</v>
      </c>
      <c r="B160" s="378" t="s">
        <v>149</v>
      </c>
      <c r="C160" s="542" t="s">
        <v>857</v>
      </c>
      <c r="D160" s="464" t="s">
        <v>93</v>
      </c>
      <c r="E160" s="379">
        <v>25</v>
      </c>
      <c r="F160" s="261"/>
      <c r="G160" s="261"/>
      <c r="H160" s="262"/>
      <c r="I160" s="262"/>
      <c r="J160" s="262"/>
      <c r="K160" s="263"/>
      <c r="L160" s="261"/>
      <c r="M160" s="263"/>
      <c r="N160" s="263"/>
      <c r="O160" s="263"/>
      <c r="P160" s="263"/>
      <c r="Q160" s="108"/>
    </row>
    <row r="161" spans="1:17" s="68" customFormat="1" ht="27" customHeight="1">
      <c r="A161" s="378">
        <f t="shared" si="2"/>
        <v>145</v>
      </c>
      <c r="B161" s="378" t="s">
        <v>149</v>
      </c>
      <c r="C161" s="542" t="s">
        <v>858</v>
      </c>
      <c r="D161" s="464" t="s">
        <v>93</v>
      </c>
      <c r="E161" s="379">
        <v>2</v>
      </c>
      <c r="F161" s="261"/>
      <c r="G161" s="261"/>
      <c r="H161" s="262"/>
      <c r="I161" s="262"/>
      <c r="J161" s="262"/>
      <c r="K161" s="263"/>
      <c r="L161" s="261"/>
      <c r="M161" s="263"/>
      <c r="N161" s="263"/>
      <c r="O161" s="263"/>
      <c r="P161" s="263"/>
      <c r="Q161" s="108"/>
    </row>
    <row r="162" spans="1:17" s="68" customFormat="1" ht="27" customHeight="1">
      <c r="A162" s="378">
        <f t="shared" si="2"/>
        <v>146</v>
      </c>
      <c r="B162" s="378" t="s">
        <v>149</v>
      </c>
      <c r="C162" s="542" t="s">
        <v>859</v>
      </c>
      <c r="D162" s="464" t="s">
        <v>90</v>
      </c>
      <c r="E162" s="379">
        <v>2</v>
      </c>
      <c r="F162" s="261"/>
      <c r="G162" s="261"/>
      <c r="H162" s="262"/>
      <c r="I162" s="262"/>
      <c r="J162" s="262"/>
      <c r="K162" s="263"/>
      <c r="L162" s="261"/>
      <c r="M162" s="263"/>
      <c r="N162" s="263"/>
      <c r="O162" s="263"/>
      <c r="P162" s="263"/>
      <c r="Q162" s="108"/>
    </row>
    <row r="163" spans="1:17" s="68" customFormat="1" ht="15" customHeight="1">
      <c r="A163" s="378">
        <f t="shared" si="2"/>
        <v>147</v>
      </c>
      <c r="B163" s="378" t="s">
        <v>149</v>
      </c>
      <c r="C163" s="542" t="s">
        <v>860</v>
      </c>
      <c r="D163" s="464" t="s">
        <v>728</v>
      </c>
      <c r="E163" s="379">
        <v>500</v>
      </c>
      <c r="F163" s="261"/>
      <c r="G163" s="261"/>
      <c r="H163" s="262"/>
      <c r="I163" s="262"/>
      <c r="J163" s="262"/>
      <c r="K163" s="263"/>
      <c r="L163" s="261"/>
      <c r="M163" s="263"/>
      <c r="N163" s="263"/>
      <c r="O163" s="263"/>
      <c r="P163" s="263"/>
      <c r="Q163" s="108"/>
    </row>
    <row r="164" spans="1:17" s="68" customFormat="1" ht="15" customHeight="1">
      <c r="A164" s="378">
        <f t="shared" si="2"/>
        <v>148</v>
      </c>
      <c r="B164" s="378" t="s">
        <v>149</v>
      </c>
      <c r="C164" s="542" t="s">
        <v>861</v>
      </c>
      <c r="D164" s="464" t="s">
        <v>93</v>
      </c>
      <c r="E164" s="379">
        <v>60</v>
      </c>
      <c r="F164" s="261"/>
      <c r="G164" s="261"/>
      <c r="H164" s="262"/>
      <c r="I164" s="262"/>
      <c r="J164" s="262"/>
      <c r="K164" s="263"/>
      <c r="L164" s="261"/>
      <c r="M164" s="263"/>
      <c r="N164" s="263"/>
      <c r="O164" s="263"/>
      <c r="P164" s="263"/>
      <c r="Q164" s="108"/>
    </row>
    <row r="165" spans="1:17" s="68" customFormat="1" ht="15" customHeight="1">
      <c r="A165" s="378">
        <f t="shared" si="2"/>
        <v>149</v>
      </c>
      <c r="B165" s="378" t="s">
        <v>149</v>
      </c>
      <c r="C165" s="542" t="s">
        <v>862</v>
      </c>
      <c r="D165" s="464" t="s">
        <v>728</v>
      </c>
      <c r="E165" s="379">
        <v>100</v>
      </c>
      <c r="F165" s="261"/>
      <c r="G165" s="261"/>
      <c r="H165" s="262"/>
      <c r="I165" s="262"/>
      <c r="J165" s="262"/>
      <c r="K165" s="263"/>
      <c r="L165" s="261"/>
      <c r="M165" s="263"/>
      <c r="N165" s="263"/>
      <c r="O165" s="263"/>
      <c r="P165" s="263"/>
      <c r="Q165" s="108"/>
    </row>
    <row r="166" spans="1:17" s="68" customFormat="1" ht="15" customHeight="1">
      <c r="A166" s="378">
        <f t="shared" si="2"/>
        <v>150</v>
      </c>
      <c r="B166" s="378" t="s">
        <v>149</v>
      </c>
      <c r="C166" s="542" t="s">
        <v>863</v>
      </c>
      <c r="D166" s="464" t="s">
        <v>93</v>
      </c>
      <c r="E166" s="379">
        <v>10</v>
      </c>
      <c r="F166" s="261"/>
      <c r="G166" s="261"/>
      <c r="H166" s="262"/>
      <c r="I166" s="262"/>
      <c r="J166" s="262"/>
      <c r="K166" s="263"/>
      <c r="L166" s="261"/>
      <c r="M166" s="263"/>
      <c r="N166" s="263"/>
      <c r="O166" s="263"/>
      <c r="P166" s="263"/>
      <c r="Q166" s="108"/>
    </row>
    <row r="167" spans="1:17" s="68" customFormat="1" ht="15" customHeight="1">
      <c r="A167" s="378">
        <f t="shared" si="2"/>
        <v>151</v>
      </c>
      <c r="B167" s="495" t="s">
        <v>149</v>
      </c>
      <c r="C167" s="544" t="s">
        <v>864</v>
      </c>
      <c r="D167" s="463" t="s">
        <v>93</v>
      </c>
      <c r="E167" s="546">
        <v>1</v>
      </c>
      <c r="F167" s="264"/>
      <c r="G167" s="264"/>
      <c r="H167" s="265"/>
      <c r="I167" s="265"/>
      <c r="J167" s="265"/>
      <c r="K167" s="266"/>
      <c r="L167" s="264"/>
      <c r="M167" s="266"/>
      <c r="N167" s="266"/>
      <c r="O167" s="266"/>
      <c r="P167" s="266"/>
      <c r="Q167" s="108"/>
    </row>
    <row r="168" spans="1:17">
      <c r="A168" s="890" t="s">
        <v>177</v>
      </c>
      <c r="B168" s="890"/>
      <c r="C168" s="890"/>
      <c r="D168" s="890"/>
      <c r="E168" s="890"/>
      <c r="F168" s="890"/>
      <c r="G168" s="890"/>
      <c r="H168" s="890"/>
      <c r="I168" s="890"/>
      <c r="J168" s="890"/>
      <c r="K168" s="890"/>
      <c r="L168" s="131">
        <f>SUM(L14:L167)</f>
        <v>0</v>
      </c>
      <c r="M168" s="131">
        <f t="shared" ref="M168:P168" si="3">SUM(M14:M167)</f>
        <v>0</v>
      </c>
      <c r="N168" s="131">
        <f t="shared" si="3"/>
        <v>0</v>
      </c>
      <c r="O168" s="131">
        <f t="shared" si="3"/>
        <v>0</v>
      </c>
      <c r="P168" s="131">
        <f t="shared" si="3"/>
        <v>0</v>
      </c>
    </row>
    <row r="169" spans="1:17" s="50" customFormat="1">
      <c r="A169" s="885" t="s">
        <v>36</v>
      </c>
      <c r="B169" s="885"/>
      <c r="C169" s="1"/>
      <c r="D169" s="1"/>
      <c r="E169" s="98"/>
      <c r="F169" s="1"/>
      <c r="G169" s="1"/>
      <c r="H169" s="1"/>
      <c r="I169" s="1"/>
      <c r="J169" s="1"/>
      <c r="K169" s="1"/>
      <c r="L169" s="1"/>
      <c r="M169" s="1"/>
      <c r="N169" s="1"/>
      <c r="O169" s="1"/>
      <c r="P169" s="1"/>
      <c r="Q169" s="316"/>
    </row>
    <row r="170" spans="1:17" s="50" customFormat="1">
      <c r="A170" s="886" t="s">
        <v>56</v>
      </c>
      <c r="B170" s="886"/>
      <c r="C170" s="886"/>
      <c r="D170" s="886"/>
      <c r="E170" s="886"/>
      <c r="F170" s="886"/>
      <c r="G170" s="886"/>
      <c r="H170" s="886"/>
      <c r="I170" s="886"/>
      <c r="J170" s="886"/>
      <c r="K170" s="886"/>
      <c r="L170" s="886"/>
      <c r="M170" s="886"/>
      <c r="N170" s="886"/>
      <c r="O170" s="886"/>
      <c r="P170" s="886"/>
      <c r="Q170" s="316"/>
    </row>
    <row r="171" spans="1:17" s="50" customFormat="1">
      <c r="A171" s="903"/>
      <c r="B171" s="903"/>
      <c r="C171" s="9"/>
      <c r="D171" s="9"/>
      <c r="E171" s="111"/>
      <c r="F171" s="9"/>
      <c r="G171" s="9"/>
      <c r="H171" s="9"/>
      <c r="I171" s="9"/>
      <c r="J171" s="9"/>
      <c r="K171" s="9"/>
      <c r="L171" s="50">
        <f>Koptame!A52</f>
        <v>0</v>
      </c>
      <c r="Q171" s="316"/>
    </row>
    <row r="172" spans="1:17" s="50" customFormat="1" collapsed="1">
      <c r="A172" s="902" t="s">
        <v>7</v>
      </c>
      <c r="B172" s="902"/>
      <c r="C172" s="307"/>
      <c r="D172" s="9"/>
      <c r="E172" s="111"/>
      <c r="F172" s="9"/>
      <c r="G172" s="9"/>
      <c r="H172" s="9"/>
      <c r="I172" s="9"/>
      <c r="J172" s="9"/>
      <c r="K172" s="9"/>
      <c r="L172" s="307"/>
      <c r="M172" s="81">
        <f>Koptame!B53</f>
        <v>0</v>
      </c>
      <c r="N172" s="81"/>
      <c r="Q172" s="316"/>
    </row>
  </sheetData>
  <mergeCells count="24">
    <mergeCell ref="F10:K10"/>
    <mergeCell ref="L10:P10"/>
    <mergeCell ref="A10:A11"/>
    <mergeCell ref="B10:B11"/>
    <mergeCell ref="C10:C11"/>
    <mergeCell ref="D10:D11"/>
    <mergeCell ref="E10:E11"/>
    <mergeCell ref="A1:P1"/>
    <mergeCell ref="A3:B3"/>
    <mergeCell ref="C3:P3"/>
    <mergeCell ref="A4:B4"/>
    <mergeCell ref="C4:P4"/>
    <mergeCell ref="A2:P2"/>
    <mergeCell ref="A5:B5"/>
    <mergeCell ref="C5:P5"/>
    <mergeCell ref="A6:B6"/>
    <mergeCell ref="C6:P6"/>
    <mergeCell ref="A7:B7"/>
    <mergeCell ref="C7:P7"/>
    <mergeCell ref="A171:B171"/>
    <mergeCell ref="A172:B172"/>
    <mergeCell ref="A168:K168"/>
    <mergeCell ref="A169:B169"/>
    <mergeCell ref="A170:P170"/>
  </mergeCells>
  <conditionalFormatting sqref="C13:C167">
    <cfRule type="expression" priority="2" stopIfTrue="1">
      <formula>#REF!</formula>
    </cfRule>
  </conditionalFormatting>
  <conditionalFormatting sqref="C13:C167">
    <cfRule type="expression" priority="1"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W610"/>
  <sheetViews>
    <sheetView showZeros="0" zoomScale="75" zoomScaleNormal="75" zoomScaleSheetLayoutView="90" workbookViewId="0">
      <selection activeCell="R1" sqref="R1:R1048576"/>
    </sheetView>
  </sheetViews>
  <sheetFormatPr defaultColWidth="9.140625" defaultRowHeight="15"/>
  <cols>
    <col min="1" max="1" width="9" style="60" customWidth="1"/>
    <col min="2" max="2" width="11.85546875" style="657" customWidth="1"/>
    <col min="3" max="3" width="45.5703125" style="60" customWidth="1"/>
    <col min="4" max="4" width="8" style="60" customWidth="1"/>
    <col min="5" max="5" width="8.7109375" style="60" customWidth="1"/>
    <col min="6" max="6" width="8.7109375" style="102" customWidth="1"/>
    <col min="7" max="9" width="8.7109375" style="60" customWidth="1"/>
    <col min="10" max="10" width="8.7109375" style="68" customWidth="1"/>
    <col min="11" max="12" width="8.7109375" style="60" customWidth="1"/>
    <col min="13" max="17" width="12.7109375" style="60" customWidth="1"/>
    <col min="18" max="16384" width="9.140625" style="60"/>
  </cols>
  <sheetData>
    <row r="1" spans="1:23" s="94" customFormat="1" ht="15.75">
      <c r="A1" s="875" t="s">
        <v>65</v>
      </c>
      <c r="B1" s="875"/>
      <c r="C1" s="875"/>
      <c r="D1" s="875"/>
      <c r="E1" s="875"/>
      <c r="F1" s="875"/>
      <c r="G1" s="875"/>
      <c r="H1" s="875"/>
      <c r="I1" s="875"/>
      <c r="J1" s="875"/>
      <c r="K1" s="875"/>
      <c r="L1" s="875"/>
      <c r="M1" s="875"/>
      <c r="N1" s="875"/>
      <c r="O1" s="875"/>
      <c r="P1" s="875"/>
      <c r="Q1" s="875"/>
    </row>
    <row r="2" spans="1:23" s="59" customFormat="1" ht="15.75">
      <c r="A2" s="899" t="s">
        <v>686</v>
      </c>
      <c r="B2" s="899"/>
      <c r="C2" s="899"/>
      <c r="D2" s="899"/>
      <c r="E2" s="899"/>
      <c r="F2" s="899"/>
      <c r="G2" s="899"/>
      <c r="H2" s="899"/>
      <c r="I2" s="899"/>
      <c r="J2" s="899"/>
      <c r="K2" s="899"/>
      <c r="L2" s="899"/>
      <c r="M2" s="899"/>
      <c r="N2" s="899"/>
      <c r="O2" s="899"/>
      <c r="P2" s="899"/>
      <c r="Q2" s="899"/>
    </row>
    <row r="3" spans="1:23" s="59" customFormat="1" ht="15.75">
      <c r="A3" s="876" t="s">
        <v>10</v>
      </c>
      <c r="B3" s="876"/>
      <c r="C3" s="859" t="s">
        <v>117</v>
      </c>
      <c r="D3" s="859"/>
      <c r="E3" s="859"/>
      <c r="F3" s="859"/>
      <c r="G3" s="859"/>
      <c r="H3" s="859"/>
      <c r="I3" s="859"/>
      <c r="J3" s="859"/>
      <c r="K3" s="859"/>
      <c r="L3" s="859"/>
      <c r="M3" s="859"/>
      <c r="N3" s="859"/>
      <c r="O3" s="859"/>
      <c r="P3" s="859"/>
      <c r="Q3" s="859"/>
    </row>
    <row r="4" spans="1:23" s="59" customFormat="1" ht="15.75">
      <c r="A4" s="876" t="s">
        <v>11</v>
      </c>
      <c r="B4" s="876"/>
      <c r="C4" s="859" t="s">
        <v>118</v>
      </c>
      <c r="D4" s="859"/>
      <c r="E4" s="859"/>
      <c r="F4" s="859"/>
      <c r="G4" s="859"/>
      <c r="H4" s="859"/>
      <c r="I4" s="859"/>
      <c r="J4" s="859"/>
      <c r="K4" s="859"/>
      <c r="L4" s="859"/>
      <c r="M4" s="859"/>
      <c r="N4" s="859"/>
      <c r="O4" s="859"/>
      <c r="P4" s="859"/>
      <c r="Q4" s="859"/>
    </row>
    <row r="5" spans="1:23" s="59" customFormat="1" ht="15.75">
      <c r="A5" s="876" t="s">
        <v>12</v>
      </c>
      <c r="B5" s="876"/>
      <c r="C5" s="859" t="s">
        <v>50</v>
      </c>
      <c r="D5" s="859"/>
      <c r="E5" s="859"/>
      <c r="F5" s="859"/>
      <c r="G5" s="859"/>
      <c r="H5" s="859"/>
      <c r="I5" s="859"/>
      <c r="J5" s="859"/>
      <c r="K5" s="859"/>
      <c r="L5" s="859"/>
      <c r="M5" s="859"/>
      <c r="N5" s="859"/>
      <c r="O5" s="859"/>
      <c r="P5" s="859"/>
      <c r="Q5" s="859"/>
    </row>
    <row r="6" spans="1:23" s="59" customFormat="1" ht="15.75">
      <c r="A6" s="876" t="s">
        <v>30</v>
      </c>
      <c r="B6" s="876"/>
      <c r="C6" s="874"/>
      <c r="D6" s="874"/>
      <c r="E6" s="874"/>
      <c r="F6" s="874"/>
      <c r="G6" s="874"/>
      <c r="H6" s="874"/>
      <c r="I6" s="874"/>
      <c r="J6" s="874"/>
      <c r="K6" s="874"/>
      <c r="L6" s="874"/>
      <c r="M6" s="874"/>
      <c r="N6" s="874"/>
      <c r="O6" s="874"/>
      <c r="P6" s="874"/>
      <c r="Q6" s="874"/>
    </row>
    <row r="7" spans="1:23" s="59" customFormat="1" ht="15.75">
      <c r="A7" s="876" t="s">
        <v>54</v>
      </c>
      <c r="B7" s="876"/>
      <c r="C7" s="873"/>
      <c r="D7" s="873"/>
      <c r="E7" s="873"/>
      <c r="F7" s="873"/>
      <c r="G7" s="873"/>
      <c r="H7" s="873"/>
      <c r="I7" s="873"/>
      <c r="J7" s="873"/>
      <c r="K7" s="873"/>
      <c r="L7" s="873"/>
      <c r="M7" s="873"/>
      <c r="N7" s="873"/>
      <c r="O7" s="873"/>
      <c r="P7" s="873"/>
      <c r="Q7" s="873"/>
    </row>
    <row r="8" spans="1:23" s="59" customFormat="1" ht="15.75">
      <c r="A8" s="73"/>
      <c r="B8" s="655"/>
      <c r="C8" s="73"/>
      <c r="D8" s="73"/>
      <c r="E8" s="73"/>
      <c r="F8" s="104"/>
      <c r="G8" s="73"/>
      <c r="H8" s="73"/>
      <c r="I8" s="73"/>
      <c r="J8" s="73"/>
      <c r="K8" s="73"/>
      <c r="L8" s="73"/>
      <c r="M8" s="66"/>
      <c r="N8" s="66"/>
      <c r="O8" s="74"/>
      <c r="P8" s="63" t="s">
        <v>52</v>
      </c>
      <c r="Q8" s="75">
        <f>Q606</f>
        <v>0</v>
      </c>
    </row>
    <row r="9" spans="1:23" ht="15.75">
      <c r="A9" s="65"/>
      <c r="B9" s="82"/>
      <c r="C9" s="66"/>
      <c r="D9" s="66"/>
      <c r="E9" s="66"/>
      <c r="F9" s="110"/>
      <c r="G9" s="66"/>
      <c r="H9" s="66"/>
      <c r="I9" s="66"/>
      <c r="J9" s="66"/>
      <c r="K9" s="66"/>
      <c r="L9" s="66"/>
      <c r="M9" s="66"/>
      <c r="N9" s="66"/>
      <c r="O9" s="66"/>
      <c r="P9" s="66"/>
      <c r="Q9" s="66"/>
    </row>
    <row r="10" spans="1:23" ht="14.25" customHeight="1">
      <c r="A10" s="893" t="s">
        <v>14</v>
      </c>
      <c r="B10" s="894" t="s">
        <v>21</v>
      </c>
      <c r="C10" s="896" t="s">
        <v>22</v>
      </c>
      <c r="D10" s="922" t="s">
        <v>1776</v>
      </c>
      <c r="E10" s="897" t="s">
        <v>23</v>
      </c>
      <c r="F10" s="898" t="s">
        <v>24</v>
      </c>
      <c r="G10" s="892" t="s">
        <v>25</v>
      </c>
      <c r="H10" s="892"/>
      <c r="I10" s="892"/>
      <c r="J10" s="892"/>
      <c r="K10" s="892"/>
      <c r="L10" s="892"/>
      <c r="M10" s="892" t="s">
        <v>26</v>
      </c>
      <c r="N10" s="892"/>
      <c r="O10" s="892"/>
      <c r="P10" s="892"/>
      <c r="Q10" s="892"/>
    </row>
    <row r="11" spans="1:23" ht="73.5" customHeight="1">
      <c r="A11" s="893"/>
      <c r="B11" s="895"/>
      <c r="C11" s="896"/>
      <c r="D11" s="923"/>
      <c r="E11" s="897"/>
      <c r="F11" s="898"/>
      <c r="G11" s="309" t="s">
        <v>27</v>
      </c>
      <c r="H11" s="309" t="s">
        <v>37</v>
      </c>
      <c r="I11" s="309" t="s">
        <v>38</v>
      </c>
      <c r="J11" s="309" t="s">
        <v>39</v>
      </c>
      <c r="K11" s="309" t="s">
        <v>40</v>
      </c>
      <c r="L11" s="309" t="s">
        <v>41</v>
      </c>
      <c r="M11" s="309" t="s">
        <v>18</v>
      </c>
      <c r="N11" s="309" t="s">
        <v>38</v>
      </c>
      <c r="O11" s="309" t="s">
        <v>39</v>
      </c>
      <c r="P11" s="309" t="s">
        <v>40</v>
      </c>
      <c r="Q11" s="309" t="s">
        <v>42</v>
      </c>
    </row>
    <row r="12" spans="1:23">
      <c r="A12" s="115">
        <v>1</v>
      </c>
      <c r="B12" s="115">
        <v>2</v>
      </c>
      <c r="C12" s="115">
        <v>3</v>
      </c>
      <c r="D12" s="115"/>
      <c r="E12" s="115">
        <v>4</v>
      </c>
      <c r="F12" s="622">
        <v>5</v>
      </c>
      <c r="G12" s="115">
        <v>6</v>
      </c>
      <c r="H12" s="115">
        <v>7</v>
      </c>
      <c r="I12" s="115">
        <v>8</v>
      </c>
      <c r="J12" s="115">
        <v>9</v>
      </c>
      <c r="K12" s="115">
        <v>10</v>
      </c>
      <c r="L12" s="115">
        <v>11</v>
      </c>
      <c r="M12" s="115">
        <v>12</v>
      </c>
      <c r="N12" s="115">
        <v>13</v>
      </c>
      <c r="O12" s="115">
        <v>14</v>
      </c>
      <c r="P12" s="115">
        <v>15</v>
      </c>
      <c r="Q12" s="115">
        <v>16</v>
      </c>
    </row>
    <row r="13" spans="1:23" s="68" customFormat="1">
      <c r="A13" s="370"/>
      <c r="B13" s="500"/>
      <c r="C13" s="371" t="s">
        <v>865</v>
      </c>
      <c r="D13" s="371"/>
      <c r="E13" s="547"/>
      <c r="F13" s="580"/>
      <c r="G13" s="547"/>
      <c r="H13" s="135"/>
      <c r="I13" s="152"/>
      <c r="J13" s="152"/>
      <c r="K13" s="152"/>
      <c r="L13" s="135"/>
      <c r="M13" s="135"/>
      <c r="N13" s="135"/>
      <c r="O13" s="135"/>
      <c r="P13" s="135"/>
      <c r="Q13" s="135"/>
      <c r="W13" s="1"/>
    </row>
    <row r="14" spans="1:23" s="68" customFormat="1">
      <c r="A14" s="548"/>
      <c r="B14" s="656"/>
      <c r="C14" s="549" t="s">
        <v>866</v>
      </c>
      <c r="D14" s="549"/>
      <c r="E14" s="550"/>
      <c r="F14" s="581"/>
      <c r="G14" s="550"/>
      <c r="H14" s="289"/>
      <c r="I14" s="290"/>
      <c r="J14" s="290"/>
      <c r="K14" s="290"/>
      <c r="L14" s="289"/>
      <c r="M14" s="289"/>
      <c r="N14" s="289"/>
      <c r="O14" s="289"/>
      <c r="P14" s="289"/>
      <c r="Q14" s="289"/>
      <c r="W14" s="1"/>
    </row>
    <row r="15" spans="1:23" s="68" customFormat="1" ht="36">
      <c r="A15" s="385">
        <f t="shared" ref="A15:A78" si="0">A14+1</f>
        <v>1</v>
      </c>
      <c r="B15" s="387" t="s">
        <v>149</v>
      </c>
      <c r="C15" s="551" t="s">
        <v>867</v>
      </c>
      <c r="D15" s="552" t="s">
        <v>868</v>
      </c>
      <c r="E15" s="387" t="s">
        <v>100</v>
      </c>
      <c r="F15" s="433">
        <v>1</v>
      </c>
      <c r="G15" s="553"/>
      <c r="H15" s="146"/>
      <c r="I15" s="149"/>
      <c r="J15" s="149"/>
      <c r="K15" s="149"/>
      <c r="L15" s="146"/>
      <c r="M15" s="146"/>
      <c r="N15" s="146"/>
      <c r="O15" s="146"/>
      <c r="P15" s="146"/>
      <c r="Q15" s="146"/>
      <c r="W15" s="1"/>
    </row>
    <row r="16" spans="1:23" s="68" customFormat="1" ht="36">
      <c r="A16" s="348">
        <f t="shared" si="0"/>
        <v>2</v>
      </c>
      <c r="B16" s="378" t="s">
        <v>149</v>
      </c>
      <c r="C16" s="554" t="s">
        <v>867</v>
      </c>
      <c r="D16" s="555" t="s">
        <v>869</v>
      </c>
      <c r="E16" s="378" t="s">
        <v>100</v>
      </c>
      <c r="F16" s="354">
        <v>2</v>
      </c>
      <c r="G16" s="556"/>
      <c r="H16" s="145"/>
      <c r="I16" s="148"/>
      <c r="J16" s="148"/>
      <c r="K16" s="148"/>
      <c r="L16" s="145"/>
      <c r="M16" s="145"/>
      <c r="N16" s="145"/>
      <c r="O16" s="145"/>
      <c r="P16" s="145"/>
      <c r="Q16" s="145"/>
      <c r="W16" s="1"/>
    </row>
    <row r="17" spans="1:23" s="68" customFormat="1" ht="36">
      <c r="A17" s="348">
        <f t="shared" si="0"/>
        <v>3</v>
      </c>
      <c r="B17" s="378" t="s">
        <v>149</v>
      </c>
      <c r="C17" s="554" t="s">
        <v>867</v>
      </c>
      <c r="D17" s="555" t="s">
        <v>870</v>
      </c>
      <c r="E17" s="378" t="s">
        <v>100</v>
      </c>
      <c r="F17" s="354">
        <v>7</v>
      </c>
      <c r="G17" s="556"/>
      <c r="H17" s="145"/>
      <c r="I17" s="148"/>
      <c r="J17" s="148"/>
      <c r="K17" s="148"/>
      <c r="L17" s="145"/>
      <c r="M17" s="145"/>
      <c r="N17" s="145"/>
      <c r="O17" s="145"/>
      <c r="P17" s="145"/>
      <c r="Q17" s="145"/>
      <c r="W17" s="1"/>
    </row>
    <row r="18" spans="1:23" s="68" customFormat="1" ht="36">
      <c r="A18" s="348">
        <f t="shared" si="0"/>
        <v>4</v>
      </c>
      <c r="B18" s="378" t="s">
        <v>149</v>
      </c>
      <c r="C18" s="554" t="s">
        <v>867</v>
      </c>
      <c r="D18" s="555" t="s">
        <v>871</v>
      </c>
      <c r="E18" s="378" t="s">
        <v>100</v>
      </c>
      <c r="F18" s="354">
        <v>10</v>
      </c>
      <c r="G18" s="556"/>
      <c r="H18" s="145"/>
      <c r="I18" s="148"/>
      <c r="J18" s="148"/>
      <c r="K18" s="148"/>
      <c r="L18" s="145"/>
      <c r="M18" s="145"/>
      <c r="N18" s="145"/>
      <c r="O18" s="145"/>
      <c r="P18" s="145"/>
      <c r="Q18" s="145"/>
      <c r="W18" s="1"/>
    </row>
    <row r="19" spans="1:23" s="68" customFormat="1" ht="36">
      <c r="A19" s="348">
        <f t="shared" si="0"/>
        <v>5</v>
      </c>
      <c r="B19" s="378" t="s">
        <v>149</v>
      </c>
      <c r="C19" s="554" t="s">
        <v>867</v>
      </c>
      <c r="D19" s="555" t="s">
        <v>872</v>
      </c>
      <c r="E19" s="378" t="s">
        <v>100</v>
      </c>
      <c r="F19" s="354">
        <v>10</v>
      </c>
      <c r="G19" s="556"/>
      <c r="H19" s="145"/>
      <c r="I19" s="148"/>
      <c r="J19" s="148"/>
      <c r="K19" s="148"/>
      <c r="L19" s="145"/>
      <c r="M19" s="145"/>
      <c r="N19" s="145"/>
      <c r="O19" s="145"/>
      <c r="P19" s="145"/>
      <c r="Q19" s="145"/>
      <c r="W19" s="1"/>
    </row>
    <row r="20" spans="1:23" s="68" customFormat="1" ht="36">
      <c r="A20" s="348">
        <f t="shared" si="0"/>
        <v>6</v>
      </c>
      <c r="B20" s="378" t="s">
        <v>149</v>
      </c>
      <c r="C20" s="554" t="s">
        <v>867</v>
      </c>
      <c r="D20" s="555" t="s">
        <v>873</v>
      </c>
      <c r="E20" s="378" t="s">
        <v>100</v>
      </c>
      <c r="F20" s="354">
        <v>12</v>
      </c>
      <c r="G20" s="556"/>
      <c r="H20" s="145"/>
      <c r="I20" s="148"/>
      <c r="J20" s="148"/>
      <c r="K20" s="148"/>
      <c r="L20" s="145"/>
      <c r="M20" s="145"/>
      <c r="N20" s="145"/>
      <c r="O20" s="145"/>
      <c r="P20" s="145"/>
      <c r="Q20" s="145"/>
      <c r="W20" s="1"/>
    </row>
    <row r="21" spans="1:23" s="68" customFormat="1" ht="36">
      <c r="A21" s="348">
        <f t="shared" si="0"/>
        <v>7</v>
      </c>
      <c r="B21" s="378" t="s">
        <v>149</v>
      </c>
      <c r="C21" s="554" t="s">
        <v>867</v>
      </c>
      <c r="D21" s="555" t="s">
        <v>874</v>
      </c>
      <c r="E21" s="378" t="s">
        <v>100</v>
      </c>
      <c r="F21" s="354">
        <v>10</v>
      </c>
      <c r="G21" s="556"/>
      <c r="H21" s="145"/>
      <c r="I21" s="148"/>
      <c r="J21" s="148"/>
      <c r="K21" s="148"/>
      <c r="L21" s="145"/>
      <c r="M21" s="145"/>
      <c r="N21" s="145"/>
      <c r="O21" s="145"/>
      <c r="P21" s="145"/>
      <c r="Q21" s="145"/>
      <c r="W21" s="1"/>
    </row>
    <row r="22" spans="1:23" s="68" customFormat="1" ht="36">
      <c r="A22" s="348">
        <f t="shared" si="0"/>
        <v>8</v>
      </c>
      <c r="B22" s="378" t="s">
        <v>149</v>
      </c>
      <c r="C22" s="554" t="s">
        <v>867</v>
      </c>
      <c r="D22" s="555" t="s">
        <v>875</v>
      </c>
      <c r="E22" s="378" t="s">
        <v>100</v>
      </c>
      <c r="F22" s="354">
        <v>1</v>
      </c>
      <c r="G22" s="556"/>
      <c r="H22" s="145"/>
      <c r="I22" s="148"/>
      <c r="J22" s="148"/>
      <c r="K22" s="148"/>
      <c r="L22" s="145"/>
      <c r="M22" s="145"/>
      <c r="N22" s="145"/>
      <c r="O22" s="145"/>
      <c r="P22" s="145"/>
      <c r="Q22" s="145"/>
      <c r="W22" s="1"/>
    </row>
    <row r="23" spans="1:23" s="68" customFormat="1" ht="36">
      <c r="A23" s="348">
        <f t="shared" si="0"/>
        <v>9</v>
      </c>
      <c r="B23" s="378" t="s">
        <v>149</v>
      </c>
      <c r="C23" s="554" t="s">
        <v>867</v>
      </c>
      <c r="D23" s="555" t="s">
        <v>876</v>
      </c>
      <c r="E23" s="378" t="s">
        <v>100</v>
      </c>
      <c r="F23" s="354">
        <v>7</v>
      </c>
      <c r="G23" s="556"/>
      <c r="H23" s="145"/>
      <c r="I23" s="148"/>
      <c r="J23" s="148"/>
      <c r="K23" s="148"/>
      <c r="L23" s="145"/>
      <c r="M23" s="145"/>
      <c r="N23" s="145"/>
      <c r="O23" s="145"/>
      <c r="P23" s="145"/>
      <c r="Q23" s="145"/>
      <c r="W23" s="1"/>
    </row>
    <row r="24" spans="1:23" s="68" customFormat="1" ht="36">
      <c r="A24" s="348">
        <f t="shared" si="0"/>
        <v>10</v>
      </c>
      <c r="B24" s="378" t="s">
        <v>149</v>
      </c>
      <c r="C24" s="554" t="s">
        <v>867</v>
      </c>
      <c r="D24" s="555" t="s">
        <v>877</v>
      </c>
      <c r="E24" s="378" t="s">
        <v>100</v>
      </c>
      <c r="F24" s="354">
        <v>4</v>
      </c>
      <c r="G24" s="556"/>
      <c r="H24" s="145"/>
      <c r="I24" s="148"/>
      <c r="J24" s="148"/>
      <c r="K24" s="148"/>
      <c r="L24" s="145"/>
      <c r="M24" s="145"/>
      <c r="N24" s="145"/>
      <c r="O24" s="145"/>
      <c r="P24" s="145"/>
      <c r="Q24" s="145"/>
      <c r="W24" s="1"/>
    </row>
    <row r="25" spans="1:23" s="68" customFormat="1" ht="36">
      <c r="A25" s="348">
        <f t="shared" si="0"/>
        <v>11</v>
      </c>
      <c r="B25" s="378" t="s">
        <v>149</v>
      </c>
      <c r="C25" s="554" t="s">
        <v>867</v>
      </c>
      <c r="D25" s="555" t="s">
        <v>878</v>
      </c>
      <c r="E25" s="378" t="s">
        <v>100</v>
      </c>
      <c r="F25" s="354">
        <v>8</v>
      </c>
      <c r="G25" s="556"/>
      <c r="H25" s="145"/>
      <c r="I25" s="148"/>
      <c r="J25" s="148"/>
      <c r="K25" s="148"/>
      <c r="L25" s="145"/>
      <c r="M25" s="145"/>
      <c r="N25" s="145"/>
      <c r="O25" s="145"/>
      <c r="P25" s="145"/>
      <c r="Q25" s="145"/>
      <c r="W25" s="1"/>
    </row>
    <row r="26" spans="1:23" s="68" customFormat="1" ht="36">
      <c r="A26" s="348">
        <f t="shared" si="0"/>
        <v>12</v>
      </c>
      <c r="B26" s="378" t="s">
        <v>149</v>
      </c>
      <c r="C26" s="554" t="s">
        <v>867</v>
      </c>
      <c r="D26" s="555" t="s">
        <v>879</v>
      </c>
      <c r="E26" s="378" t="s">
        <v>100</v>
      </c>
      <c r="F26" s="354">
        <v>4</v>
      </c>
      <c r="G26" s="556"/>
      <c r="H26" s="145"/>
      <c r="I26" s="148"/>
      <c r="J26" s="148"/>
      <c r="K26" s="148"/>
      <c r="L26" s="145"/>
      <c r="M26" s="145"/>
      <c r="N26" s="145"/>
      <c r="O26" s="145"/>
      <c r="P26" s="145"/>
      <c r="Q26" s="145"/>
      <c r="W26" s="1"/>
    </row>
    <row r="27" spans="1:23" s="68" customFormat="1" ht="36">
      <c r="A27" s="348">
        <f t="shared" si="0"/>
        <v>13</v>
      </c>
      <c r="B27" s="378" t="s">
        <v>149</v>
      </c>
      <c r="C27" s="554" t="s">
        <v>867</v>
      </c>
      <c r="D27" s="555" t="s">
        <v>880</v>
      </c>
      <c r="E27" s="378" t="s">
        <v>100</v>
      </c>
      <c r="F27" s="354">
        <v>1</v>
      </c>
      <c r="G27" s="556"/>
      <c r="H27" s="145"/>
      <c r="I27" s="148"/>
      <c r="J27" s="148"/>
      <c r="K27" s="148"/>
      <c r="L27" s="145"/>
      <c r="M27" s="145"/>
      <c r="N27" s="145"/>
      <c r="O27" s="145"/>
      <c r="P27" s="145"/>
      <c r="Q27" s="145"/>
      <c r="W27" s="1"/>
    </row>
    <row r="28" spans="1:23" s="68" customFormat="1" ht="36">
      <c r="A28" s="348">
        <f t="shared" si="0"/>
        <v>14</v>
      </c>
      <c r="B28" s="378" t="s">
        <v>149</v>
      </c>
      <c r="C28" s="554" t="s">
        <v>867</v>
      </c>
      <c r="D28" s="555" t="s">
        <v>881</v>
      </c>
      <c r="E28" s="378" t="s">
        <v>100</v>
      </c>
      <c r="F28" s="354">
        <v>2</v>
      </c>
      <c r="G28" s="556"/>
      <c r="H28" s="145"/>
      <c r="I28" s="148"/>
      <c r="J28" s="148"/>
      <c r="K28" s="148"/>
      <c r="L28" s="145"/>
      <c r="M28" s="145"/>
      <c r="N28" s="145"/>
      <c r="O28" s="145"/>
      <c r="P28" s="145"/>
      <c r="Q28" s="145"/>
      <c r="W28" s="1"/>
    </row>
    <row r="29" spans="1:23" s="68" customFormat="1" ht="36">
      <c r="A29" s="348">
        <f t="shared" si="0"/>
        <v>15</v>
      </c>
      <c r="B29" s="378" t="s">
        <v>149</v>
      </c>
      <c r="C29" s="554" t="s">
        <v>867</v>
      </c>
      <c r="D29" s="555" t="s">
        <v>882</v>
      </c>
      <c r="E29" s="378" t="s">
        <v>100</v>
      </c>
      <c r="F29" s="354">
        <v>2</v>
      </c>
      <c r="G29" s="556"/>
      <c r="H29" s="145"/>
      <c r="I29" s="148"/>
      <c r="J29" s="148"/>
      <c r="K29" s="148"/>
      <c r="L29" s="145"/>
      <c r="M29" s="145"/>
      <c r="N29" s="145"/>
      <c r="O29" s="145"/>
      <c r="P29" s="145"/>
      <c r="Q29" s="145"/>
      <c r="W29" s="1"/>
    </row>
    <row r="30" spans="1:23" s="68" customFormat="1" ht="36">
      <c r="A30" s="348">
        <f t="shared" si="0"/>
        <v>16</v>
      </c>
      <c r="B30" s="378" t="s">
        <v>149</v>
      </c>
      <c r="C30" s="554" t="s">
        <v>867</v>
      </c>
      <c r="D30" s="555" t="s">
        <v>883</v>
      </c>
      <c r="E30" s="378" t="s">
        <v>100</v>
      </c>
      <c r="F30" s="354">
        <v>3</v>
      </c>
      <c r="G30" s="556"/>
      <c r="H30" s="145"/>
      <c r="I30" s="148"/>
      <c r="J30" s="148"/>
      <c r="K30" s="148"/>
      <c r="L30" s="145"/>
      <c r="M30" s="145"/>
      <c r="N30" s="145"/>
      <c r="O30" s="145"/>
      <c r="P30" s="145"/>
      <c r="Q30" s="145"/>
      <c r="W30" s="1"/>
    </row>
    <row r="31" spans="1:23" s="68" customFormat="1" ht="36">
      <c r="A31" s="348">
        <f t="shared" si="0"/>
        <v>17</v>
      </c>
      <c r="B31" s="378" t="s">
        <v>149</v>
      </c>
      <c r="C31" s="554" t="s">
        <v>867</v>
      </c>
      <c r="D31" s="555" t="s">
        <v>884</v>
      </c>
      <c r="E31" s="378" t="s">
        <v>100</v>
      </c>
      <c r="F31" s="354">
        <v>5</v>
      </c>
      <c r="G31" s="556"/>
      <c r="H31" s="145"/>
      <c r="I31" s="148"/>
      <c r="J31" s="148"/>
      <c r="K31" s="148"/>
      <c r="L31" s="145"/>
      <c r="M31" s="145"/>
      <c r="N31" s="145"/>
      <c r="O31" s="145"/>
      <c r="P31" s="145"/>
      <c r="Q31" s="145"/>
      <c r="W31" s="1"/>
    </row>
    <row r="32" spans="1:23" s="68" customFormat="1" ht="36">
      <c r="A32" s="348">
        <f t="shared" si="0"/>
        <v>18</v>
      </c>
      <c r="B32" s="378" t="s">
        <v>149</v>
      </c>
      <c r="C32" s="554" t="s">
        <v>867</v>
      </c>
      <c r="D32" s="555" t="s">
        <v>885</v>
      </c>
      <c r="E32" s="378" t="s">
        <v>100</v>
      </c>
      <c r="F32" s="354">
        <v>4</v>
      </c>
      <c r="G32" s="556"/>
      <c r="H32" s="145"/>
      <c r="I32" s="148"/>
      <c r="J32" s="148"/>
      <c r="K32" s="148"/>
      <c r="L32" s="145"/>
      <c r="M32" s="145"/>
      <c r="N32" s="145"/>
      <c r="O32" s="145"/>
      <c r="P32" s="145"/>
      <c r="Q32" s="145"/>
      <c r="W32" s="1"/>
    </row>
    <row r="33" spans="1:23" s="68" customFormat="1" ht="36">
      <c r="A33" s="348">
        <f t="shared" si="0"/>
        <v>19</v>
      </c>
      <c r="B33" s="378" t="s">
        <v>149</v>
      </c>
      <c r="C33" s="554" t="s">
        <v>867</v>
      </c>
      <c r="D33" s="555" t="s">
        <v>886</v>
      </c>
      <c r="E33" s="378" t="s">
        <v>100</v>
      </c>
      <c r="F33" s="354">
        <v>3</v>
      </c>
      <c r="G33" s="556"/>
      <c r="H33" s="145"/>
      <c r="I33" s="148"/>
      <c r="J33" s="148"/>
      <c r="K33" s="148"/>
      <c r="L33" s="145"/>
      <c r="M33" s="145"/>
      <c r="N33" s="145"/>
      <c r="O33" s="145"/>
      <c r="P33" s="145"/>
      <c r="Q33" s="145"/>
      <c r="W33" s="1"/>
    </row>
    <row r="34" spans="1:23" s="68" customFormat="1" ht="36">
      <c r="A34" s="348">
        <f t="shared" si="0"/>
        <v>20</v>
      </c>
      <c r="B34" s="378" t="s">
        <v>149</v>
      </c>
      <c r="C34" s="554" t="s">
        <v>867</v>
      </c>
      <c r="D34" s="555" t="s">
        <v>887</v>
      </c>
      <c r="E34" s="378" t="s">
        <v>100</v>
      </c>
      <c r="F34" s="354">
        <v>3</v>
      </c>
      <c r="G34" s="556"/>
      <c r="H34" s="145"/>
      <c r="I34" s="148"/>
      <c r="J34" s="148"/>
      <c r="K34" s="148"/>
      <c r="L34" s="145"/>
      <c r="M34" s="145"/>
      <c r="N34" s="145"/>
      <c r="O34" s="145"/>
      <c r="P34" s="145"/>
      <c r="Q34" s="145"/>
      <c r="W34" s="1"/>
    </row>
    <row r="35" spans="1:23" s="68" customFormat="1" ht="36">
      <c r="A35" s="348">
        <f t="shared" si="0"/>
        <v>21</v>
      </c>
      <c r="B35" s="378" t="s">
        <v>149</v>
      </c>
      <c r="C35" s="554" t="s">
        <v>867</v>
      </c>
      <c r="D35" s="555" t="s">
        <v>888</v>
      </c>
      <c r="E35" s="378" t="s">
        <v>100</v>
      </c>
      <c r="F35" s="354">
        <v>1</v>
      </c>
      <c r="G35" s="556"/>
      <c r="H35" s="145"/>
      <c r="I35" s="148"/>
      <c r="J35" s="148"/>
      <c r="K35" s="148"/>
      <c r="L35" s="145"/>
      <c r="M35" s="145"/>
      <c r="N35" s="145"/>
      <c r="O35" s="145"/>
      <c r="P35" s="145"/>
      <c r="Q35" s="145"/>
      <c r="W35" s="1"/>
    </row>
    <row r="36" spans="1:23" s="68" customFormat="1" ht="36">
      <c r="A36" s="348">
        <f t="shared" si="0"/>
        <v>22</v>
      </c>
      <c r="B36" s="378" t="s">
        <v>149</v>
      </c>
      <c r="C36" s="554" t="s">
        <v>867</v>
      </c>
      <c r="D36" s="555" t="s">
        <v>889</v>
      </c>
      <c r="E36" s="378" t="s">
        <v>100</v>
      </c>
      <c r="F36" s="354">
        <v>4</v>
      </c>
      <c r="G36" s="556"/>
      <c r="H36" s="145"/>
      <c r="I36" s="148"/>
      <c r="J36" s="148"/>
      <c r="K36" s="148"/>
      <c r="L36" s="145"/>
      <c r="M36" s="145"/>
      <c r="N36" s="145"/>
      <c r="O36" s="145"/>
      <c r="P36" s="145"/>
      <c r="Q36" s="145"/>
      <c r="W36" s="1"/>
    </row>
    <row r="37" spans="1:23" s="68" customFormat="1" ht="36">
      <c r="A37" s="348">
        <f t="shared" si="0"/>
        <v>23</v>
      </c>
      <c r="B37" s="378" t="s">
        <v>149</v>
      </c>
      <c r="C37" s="554" t="s">
        <v>867</v>
      </c>
      <c r="D37" s="555" t="s">
        <v>890</v>
      </c>
      <c r="E37" s="378" t="s">
        <v>100</v>
      </c>
      <c r="F37" s="354">
        <v>1</v>
      </c>
      <c r="G37" s="556"/>
      <c r="H37" s="145"/>
      <c r="I37" s="148"/>
      <c r="J37" s="148"/>
      <c r="K37" s="148"/>
      <c r="L37" s="145"/>
      <c r="M37" s="145"/>
      <c r="N37" s="145"/>
      <c r="O37" s="145"/>
      <c r="P37" s="145"/>
      <c r="Q37" s="145"/>
      <c r="W37" s="1"/>
    </row>
    <row r="38" spans="1:23" s="68" customFormat="1" ht="36">
      <c r="A38" s="348">
        <f t="shared" si="0"/>
        <v>24</v>
      </c>
      <c r="B38" s="378" t="s">
        <v>149</v>
      </c>
      <c r="C38" s="554" t="s">
        <v>867</v>
      </c>
      <c r="D38" s="555" t="s">
        <v>891</v>
      </c>
      <c r="E38" s="378" t="s">
        <v>100</v>
      </c>
      <c r="F38" s="354">
        <v>2</v>
      </c>
      <c r="G38" s="556"/>
      <c r="H38" s="145"/>
      <c r="I38" s="148"/>
      <c r="J38" s="148"/>
      <c r="K38" s="148"/>
      <c r="L38" s="145"/>
      <c r="M38" s="145"/>
      <c r="N38" s="145"/>
      <c r="O38" s="145"/>
      <c r="P38" s="145"/>
      <c r="Q38" s="145"/>
      <c r="W38" s="1"/>
    </row>
    <row r="39" spans="1:23" s="68" customFormat="1" ht="36">
      <c r="A39" s="348">
        <f t="shared" si="0"/>
        <v>25</v>
      </c>
      <c r="B39" s="378" t="s">
        <v>149</v>
      </c>
      <c r="C39" s="554" t="s">
        <v>867</v>
      </c>
      <c r="D39" s="555" t="s">
        <v>892</v>
      </c>
      <c r="E39" s="378" t="s">
        <v>100</v>
      </c>
      <c r="F39" s="354">
        <v>1</v>
      </c>
      <c r="G39" s="556"/>
      <c r="H39" s="145"/>
      <c r="I39" s="148"/>
      <c r="J39" s="148"/>
      <c r="K39" s="148"/>
      <c r="L39" s="145"/>
      <c r="M39" s="145"/>
      <c r="N39" s="145"/>
      <c r="O39" s="145"/>
      <c r="P39" s="145"/>
      <c r="Q39" s="145"/>
      <c r="W39" s="1"/>
    </row>
    <row r="40" spans="1:23" s="68" customFormat="1" ht="36">
      <c r="A40" s="348">
        <f t="shared" si="0"/>
        <v>26</v>
      </c>
      <c r="B40" s="378" t="s">
        <v>149</v>
      </c>
      <c r="C40" s="554" t="s">
        <v>867</v>
      </c>
      <c r="D40" s="555" t="s">
        <v>893</v>
      </c>
      <c r="E40" s="378" t="s">
        <v>100</v>
      </c>
      <c r="F40" s="354">
        <v>1</v>
      </c>
      <c r="G40" s="556"/>
      <c r="H40" s="145"/>
      <c r="I40" s="148"/>
      <c r="J40" s="148"/>
      <c r="K40" s="148"/>
      <c r="L40" s="145"/>
      <c r="M40" s="145"/>
      <c r="N40" s="145"/>
      <c r="O40" s="145"/>
      <c r="P40" s="145"/>
      <c r="Q40" s="145"/>
      <c r="W40" s="1"/>
    </row>
    <row r="41" spans="1:23" s="68" customFormat="1" ht="36">
      <c r="A41" s="348">
        <f t="shared" si="0"/>
        <v>27</v>
      </c>
      <c r="B41" s="378" t="s">
        <v>149</v>
      </c>
      <c r="C41" s="554" t="s">
        <v>867</v>
      </c>
      <c r="D41" s="555" t="s">
        <v>894</v>
      </c>
      <c r="E41" s="378" t="s">
        <v>100</v>
      </c>
      <c r="F41" s="354">
        <v>2</v>
      </c>
      <c r="G41" s="556"/>
      <c r="H41" s="145"/>
      <c r="I41" s="148"/>
      <c r="J41" s="148"/>
      <c r="K41" s="148"/>
      <c r="L41" s="145"/>
      <c r="M41" s="145"/>
      <c r="N41" s="145"/>
      <c r="O41" s="145"/>
      <c r="P41" s="145"/>
      <c r="Q41" s="145"/>
      <c r="W41" s="1"/>
    </row>
    <row r="42" spans="1:23" s="68" customFormat="1" ht="36">
      <c r="A42" s="348">
        <f t="shared" si="0"/>
        <v>28</v>
      </c>
      <c r="B42" s="378" t="s">
        <v>149</v>
      </c>
      <c r="C42" s="554" t="s">
        <v>867</v>
      </c>
      <c r="D42" s="555" t="s">
        <v>895</v>
      </c>
      <c r="E42" s="378" t="s">
        <v>100</v>
      </c>
      <c r="F42" s="354">
        <v>1</v>
      </c>
      <c r="G42" s="556"/>
      <c r="H42" s="145"/>
      <c r="I42" s="148"/>
      <c r="J42" s="148"/>
      <c r="K42" s="148"/>
      <c r="L42" s="145"/>
      <c r="M42" s="145"/>
      <c r="N42" s="145"/>
      <c r="O42" s="145"/>
      <c r="P42" s="145"/>
      <c r="Q42" s="145"/>
      <c r="W42" s="1"/>
    </row>
    <row r="43" spans="1:23" s="68" customFormat="1" ht="36">
      <c r="A43" s="348">
        <f t="shared" si="0"/>
        <v>29</v>
      </c>
      <c r="B43" s="378" t="s">
        <v>149</v>
      </c>
      <c r="C43" s="554" t="s">
        <v>867</v>
      </c>
      <c r="D43" s="555" t="s">
        <v>896</v>
      </c>
      <c r="E43" s="378" t="s">
        <v>100</v>
      </c>
      <c r="F43" s="354">
        <v>3</v>
      </c>
      <c r="G43" s="556"/>
      <c r="H43" s="145"/>
      <c r="I43" s="148"/>
      <c r="J43" s="148"/>
      <c r="K43" s="148"/>
      <c r="L43" s="145"/>
      <c r="M43" s="145"/>
      <c r="N43" s="145"/>
      <c r="O43" s="145"/>
      <c r="P43" s="145"/>
      <c r="Q43" s="145"/>
      <c r="W43" s="1"/>
    </row>
    <row r="44" spans="1:23" s="68" customFormat="1" ht="36">
      <c r="A44" s="348">
        <f t="shared" si="0"/>
        <v>30</v>
      </c>
      <c r="B44" s="378" t="s">
        <v>149</v>
      </c>
      <c r="C44" s="554" t="s">
        <v>867</v>
      </c>
      <c r="D44" s="555" t="s">
        <v>897</v>
      </c>
      <c r="E44" s="378" t="s">
        <v>100</v>
      </c>
      <c r="F44" s="354">
        <v>1</v>
      </c>
      <c r="G44" s="556"/>
      <c r="H44" s="145"/>
      <c r="I44" s="148"/>
      <c r="J44" s="148"/>
      <c r="K44" s="148"/>
      <c r="L44" s="145"/>
      <c r="M44" s="145"/>
      <c r="N44" s="145"/>
      <c r="O44" s="145"/>
      <c r="P44" s="145"/>
      <c r="Q44" s="145"/>
      <c r="W44" s="1"/>
    </row>
    <row r="45" spans="1:23" s="68" customFormat="1" ht="36">
      <c r="A45" s="348">
        <f t="shared" si="0"/>
        <v>31</v>
      </c>
      <c r="B45" s="378" t="s">
        <v>149</v>
      </c>
      <c r="C45" s="554" t="s">
        <v>867</v>
      </c>
      <c r="D45" s="555" t="s">
        <v>898</v>
      </c>
      <c r="E45" s="378" t="s">
        <v>100</v>
      </c>
      <c r="F45" s="354">
        <v>1</v>
      </c>
      <c r="G45" s="556"/>
      <c r="H45" s="145"/>
      <c r="I45" s="148"/>
      <c r="J45" s="148"/>
      <c r="K45" s="148"/>
      <c r="L45" s="145"/>
      <c r="M45" s="145"/>
      <c r="N45" s="145"/>
      <c r="O45" s="145"/>
      <c r="P45" s="145"/>
      <c r="Q45" s="145"/>
      <c r="W45" s="1"/>
    </row>
    <row r="46" spans="1:23" s="68" customFormat="1" ht="36">
      <c r="A46" s="348">
        <f t="shared" si="0"/>
        <v>32</v>
      </c>
      <c r="B46" s="378" t="s">
        <v>149</v>
      </c>
      <c r="C46" s="554" t="s">
        <v>867</v>
      </c>
      <c r="D46" s="555" t="s">
        <v>899</v>
      </c>
      <c r="E46" s="378" t="s">
        <v>100</v>
      </c>
      <c r="F46" s="354">
        <v>1</v>
      </c>
      <c r="G46" s="556"/>
      <c r="H46" s="145"/>
      <c r="I46" s="148"/>
      <c r="J46" s="148"/>
      <c r="K46" s="148"/>
      <c r="L46" s="145"/>
      <c r="M46" s="145"/>
      <c r="N46" s="145"/>
      <c r="O46" s="145"/>
      <c r="P46" s="145"/>
      <c r="Q46" s="145"/>
      <c r="W46" s="1"/>
    </row>
    <row r="47" spans="1:23" s="68" customFormat="1" ht="36">
      <c r="A47" s="348">
        <f t="shared" si="0"/>
        <v>33</v>
      </c>
      <c r="B47" s="378" t="s">
        <v>149</v>
      </c>
      <c r="C47" s="554" t="s">
        <v>867</v>
      </c>
      <c r="D47" s="555" t="s">
        <v>900</v>
      </c>
      <c r="E47" s="378" t="s">
        <v>100</v>
      </c>
      <c r="F47" s="354">
        <v>1</v>
      </c>
      <c r="G47" s="556"/>
      <c r="H47" s="145"/>
      <c r="I47" s="148"/>
      <c r="J47" s="148"/>
      <c r="K47" s="148"/>
      <c r="L47" s="145"/>
      <c r="M47" s="145"/>
      <c r="N47" s="145"/>
      <c r="O47" s="145"/>
      <c r="P47" s="145"/>
      <c r="Q47" s="145"/>
      <c r="W47" s="1"/>
    </row>
    <row r="48" spans="1:23" s="68" customFormat="1">
      <c r="A48" s="348">
        <f t="shared" si="0"/>
        <v>34</v>
      </c>
      <c r="B48" s="378" t="s">
        <v>149</v>
      </c>
      <c r="C48" s="554" t="s">
        <v>901</v>
      </c>
      <c r="D48" s="434"/>
      <c r="E48" s="434" t="s">
        <v>100</v>
      </c>
      <c r="F48" s="379">
        <v>129</v>
      </c>
      <c r="G48" s="557"/>
      <c r="H48" s="145"/>
      <c r="I48" s="148"/>
      <c r="J48" s="148"/>
      <c r="K48" s="148"/>
      <c r="L48" s="145"/>
      <c r="M48" s="145"/>
      <c r="N48" s="145"/>
      <c r="O48" s="145"/>
      <c r="P48" s="145"/>
      <c r="Q48" s="145"/>
      <c r="W48" s="1"/>
    </row>
    <row r="49" spans="1:23" s="68" customFormat="1">
      <c r="A49" s="348">
        <f t="shared" si="0"/>
        <v>35</v>
      </c>
      <c r="B49" s="378" t="s">
        <v>149</v>
      </c>
      <c r="C49" s="554" t="s">
        <v>902</v>
      </c>
      <c r="D49" s="434"/>
      <c r="E49" s="434" t="s">
        <v>100</v>
      </c>
      <c r="F49" s="379">
        <v>129</v>
      </c>
      <c r="G49" s="557"/>
      <c r="H49" s="145"/>
      <c r="I49" s="148"/>
      <c r="J49" s="148"/>
      <c r="K49" s="148"/>
      <c r="L49" s="145"/>
      <c r="M49" s="145"/>
      <c r="N49" s="145"/>
      <c r="O49" s="145"/>
      <c r="P49" s="145"/>
      <c r="Q49" s="145"/>
      <c r="W49" s="1"/>
    </row>
    <row r="50" spans="1:23" s="68" customFormat="1" ht="48">
      <c r="A50" s="348">
        <f t="shared" si="0"/>
        <v>36</v>
      </c>
      <c r="B50" s="378" t="s">
        <v>149</v>
      </c>
      <c r="C50" s="558" t="s">
        <v>903</v>
      </c>
      <c r="D50" s="435" t="s">
        <v>904</v>
      </c>
      <c r="E50" s="435" t="s">
        <v>100</v>
      </c>
      <c r="F50" s="354">
        <v>6</v>
      </c>
      <c r="G50" s="435"/>
      <c r="H50" s="145"/>
      <c r="I50" s="148"/>
      <c r="J50" s="148"/>
      <c r="K50" s="148"/>
      <c r="L50" s="145"/>
      <c r="M50" s="145"/>
      <c r="N50" s="145"/>
      <c r="O50" s="145"/>
      <c r="P50" s="145"/>
      <c r="Q50" s="145"/>
      <c r="W50" s="1"/>
    </row>
    <row r="51" spans="1:23" s="68" customFormat="1" ht="48">
      <c r="A51" s="348">
        <f t="shared" si="0"/>
        <v>37</v>
      </c>
      <c r="B51" s="378" t="s">
        <v>149</v>
      </c>
      <c r="C51" s="558" t="s">
        <v>905</v>
      </c>
      <c r="D51" s="435" t="s">
        <v>906</v>
      </c>
      <c r="E51" s="435" t="s">
        <v>100</v>
      </c>
      <c r="F51" s="354">
        <v>4</v>
      </c>
      <c r="G51" s="435"/>
      <c r="H51" s="145"/>
      <c r="I51" s="148"/>
      <c r="J51" s="148"/>
      <c r="K51" s="148"/>
      <c r="L51" s="145"/>
      <c r="M51" s="145"/>
      <c r="N51" s="145"/>
      <c r="O51" s="145"/>
      <c r="P51" s="145"/>
      <c r="Q51" s="145"/>
      <c r="W51" s="1"/>
    </row>
    <row r="52" spans="1:23" s="68" customFormat="1">
      <c r="A52" s="348">
        <f t="shared" si="0"/>
        <v>38</v>
      </c>
      <c r="B52" s="378" t="s">
        <v>149</v>
      </c>
      <c r="C52" s="558" t="s">
        <v>907</v>
      </c>
      <c r="D52" s="559"/>
      <c r="E52" s="559" t="s">
        <v>100</v>
      </c>
      <c r="F52" s="379">
        <v>10</v>
      </c>
      <c r="G52" s="559"/>
      <c r="H52" s="145"/>
      <c r="I52" s="148"/>
      <c r="J52" s="148"/>
      <c r="K52" s="148"/>
      <c r="L52" s="145"/>
      <c r="M52" s="145"/>
      <c r="N52" s="145"/>
      <c r="O52" s="145"/>
      <c r="P52" s="145"/>
      <c r="Q52" s="145"/>
      <c r="W52" s="1"/>
    </row>
    <row r="53" spans="1:23" s="68" customFormat="1" ht="48">
      <c r="A53" s="348">
        <f t="shared" si="0"/>
        <v>39</v>
      </c>
      <c r="B53" s="378" t="s">
        <v>149</v>
      </c>
      <c r="C53" s="558" t="s">
        <v>908</v>
      </c>
      <c r="D53" s="560" t="s">
        <v>909</v>
      </c>
      <c r="E53" s="559" t="s">
        <v>100</v>
      </c>
      <c r="F53" s="379">
        <v>10</v>
      </c>
      <c r="G53" s="559"/>
      <c r="H53" s="145"/>
      <c r="I53" s="148"/>
      <c r="J53" s="148"/>
      <c r="K53" s="148"/>
      <c r="L53" s="145"/>
      <c r="M53" s="145"/>
      <c r="N53" s="145"/>
      <c r="O53" s="145"/>
      <c r="P53" s="145"/>
      <c r="Q53" s="145"/>
      <c r="W53" s="1"/>
    </row>
    <row r="54" spans="1:23" s="68" customFormat="1">
      <c r="A54" s="348">
        <f t="shared" si="0"/>
        <v>40</v>
      </c>
      <c r="B54" s="378" t="s">
        <v>149</v>
      </c>
      <c r="C54" s="561" t="s">
        <v>910</v>
      </c>
      <c r="D54" s="555" t="s">
        <v>911</v>
      </c>
      <c r="E54" s="555" t="s">
        <v>90</v>
      </c>
      <c r="F54" s="354">
        <v>42</v>
      </c>
      <c r="G54" s="556"/>
      <c r="H54" s="145"/>
      <c r="I54" s="148"/>
      <c r="J54" s="148"/>
      <c r="K54" s="148"/>
      <c r="L54" s="145"/>
      <c r="M54" s="145"/>
      <c r="N54" s="145"/>
      <c r="O54" s="145"/>
      <c r="P54" s="145"/>
      <c r="Q54" s="145"/>
      <c r="W54" s="1"/>
    </row>
    <row r="55" spans="1:23" s="68" customFormat="1">
      <c r="A55" s="348">
        <f t="shared" si="0"/>
        <v>41</v>
      </c>
      <c r="B55" s="378" t="s">
        <v>149</v>
      </c>
      <c r="C55" s="561" t="s">
        <v>910</v>
      </c>
      <c r="D55" s="555" t="s">
        <v>912</v>
      </c>
      <c r="E55" s="555" t="s">
        <v>90</v>
      </c>
      <c r="F55" s="354">
        <v>1</v>
      </c>
      <c r="G55" s="556"/>
      <c r="H55" s="145"/>
      <c r="I55" s="148"/>
      <c r="J55" s="148"/>
      <c r="K55" s="148"/>
      <c r="L55" s="145"/>
      <c r="M55" s="145"/>
      <c r="N55" s="145"/>
      <c r="O55" s="145"/>
      <c r="P55" s="145"/>
      <c r="Q55" s="145"/>
      <c r="W55" s="1"/>
    </row>
    <row r="56" spans="1:23" s="68" customFormat="1" ht="24">
      <c r="A56" s="348">
        <f t="shared" si="0"/>
        <v>42</v>
      </c>
      <c r="B56" s="378" t="s">
        <v>149</v>
      </c>
      <c r="C56" s="561" t="s">
        <v>913</v>
      </c>
      <c r="D56" s="555" t="s">
        <v>914</v>
      </c>
      <c r="E56" s="555" t="s">
        <v>90</v>
      </c>
      <c r="F56" s="354">
        <v>32</v>
      </c>
      <c r="G56" s="556"/>
      <c r="H56" s="145"/>
      <c r="I56" s="148"/>
      <c r="J56" s="148"/>
      <c r="K56" s="148"/>
      <c r="L56" s="145"/>
      <c r="M56" s="145"/>
      <c r="N56" s="145"/>
      <c r="O56" s="145"/>
      <c r="P56" s="145"/>
      <c r="Q56" s="145"/>
      <c r="W56" s="1"/>
    </row>
    <row r="57" spans="1:23" s="68" customFormat="1" ht="24">
      <c r="A57" s="348">
        <f t="shared" si="0"/>
        <v>43</v>
      </c>
      <c r="B57" s="378" t="s">
        <v>149</v>
      </c>
      <c r="C57" s="561" t="s">
        <v>913</v>
      </c>
      <c r="D57" s="555" t="s">
        <v>915</v>
      </c>
      <c r="E57" s="555" t="s">
        <v>90</v>
      </c>
      <c r="F57" s="354">
        <v>1</v>
      </c>
      <c r="G57" s="556"/>
      <c r="H57" s="145"/>
      <c r="I57" s="148"/>
      <c r="J57" s="148"/>
      <c r="K57" s="148"/>
      <c r="L57" s="145"/>
      <c r="M57" s="145"/>
      <c r="N57" s="145"/>
      <c r="O57" s="145"/>
      <c r="P57" s="145"/>
      <c r="Q57" s="145"/>
      <c r="W57" s="1"/>
    </row>
    <row r="58" spans="1:23" s="68" customFormat="1">
      <c r="A58" s="348">
        <f t="shared" si="0"/>
        <v>44</v>
      </c>
      <c r="B58" s="378" t="s">
        <v>149</v>
      </c>
      <c r="C58" s="561" t="s">
        <v>916</v>
      </c>
      <c r="D58" s="555" t="s">
        <v>917</v>
      </c>
      <c r="E58" s="555" t="s">
        <v>77</v>
      </c>
      <c r="F58" s="354">
        <v>1860</v>
      </c>
      <c r="G58" s="556"/>
      <c r="H58" s="145"/>
      <c r="I58" s="148"/>
      <c r="J58" s="148"/>
      <c r="K58" s="148"/>
      <c r="L58" s="145"/>
      <c r="M58" s="145"/>
      <c r="N58" s="145"/>
      <c r="O58" s="145"/>
      <c r="P58" s="145"/>
      <c r="Q58" s="145"/>
      <c r="W58" s="1"/>
    </row>
    <row r="59" spans="1:23" s="68" customFormat="1">
      <c r="A59" s="348">
        <f t="shared" si="0"/>
        <v>45</v>
      </c>
      <c r="B59" s="378" t="s">
        <v>149</v>
      </c>
      <c r="C59" s="561" t="s">
        <v>916</v>
      </c>
      <c r="D59" s="555" t="s">
        <v>918</v>
      </c>
      <c r="E59" s="555" t="s">
        <v>77</v>
      </c>
      <c r="F59" s="354">
        <v>50</v>
      </c>
      <c r="G59" s="556"/>
      <c r="H59" s="145"/>
      <c r="I59" s="148"/>
      <c r="J59" s="148"/>
      <c r="K59" s="148"/>
      <c r="L59" s="145"/>
      <c r="M59" s="145"/>
      <c r="N59" s="145"/>
      <c r="O59" s="145"/>
      <c r="P59" s="145"/>
      <c r="Q59" s="145"/>
      <c r="W59" s="1"/>
    </row>
    <row r="60" spans="1:23" s="68" customFormat="1">
      <c r="A60" s="348">
        <f t="shared" si="0"/>
        <v>46</v>
      </c>
      <c r="B60" s="378" t="s">
        <v>149</v>
      </c>
      <c r="C60" s="561" t="s">
        <v>916</v>
      </c>
      <c r="D60" s="555" t="s">
        <v>919</v>
      </c>
      <c r="E60" s="555" t="s">
        <v>77</v>
      </c>
      <c r="F60" s="354">
        <v>65</v>
      </c>
      <c r="G60" s="556"/>
      <c r="H60" s="145"/>
      <c r="I60" s="148"/>
      <c r="J60" s="148"/>
      <c r="K60" s="148"/>
      <c r="L60" s="145"/>
      <c r="M60" s="145"/>
      <c r="N60" s="145"/>
      <c r="O60" s="145"/>
      <c r="P60" s="145"/>
      <c r="Q60" s="145"/>
      <c r="W60" s="1"/>
    </row>
    <row r="61" spans="1:23" s="68" customFormat="1">
      <c r="A61" s="348">
        <f t="shared" si="0"/>
        <v>47</v>
      </c>
      <c r="B61" s="378" t="s">
        <v>149</v>
      </c>
      <c r="C61" s="561" t="s">
        <v>916</v>
      </c>
      <c r="D61" s="555" t="s">
        <v>920</v>
      </c>
      <c r="E61" s="555" t="s">
        <v>77</v>
      </c>
      <c r="F61" s="379">
        <v>35</v>
      </c>
      <c r="G61" s="557"/>
      <c r="H61" s="145"/>
      <c r="I61" s="148"/>
      <c r="J61" s="148"/>
      <c r="K61" s="148"/>
      <c r="L61" s="145"/>
      <c r="M61" s="145"/>
      <c r="N61" s="145"/>
      <c r="O61" s="145"/>
      <c r="P61" s="145"/>
      <c r="Q61" s="145"/>
      <c r="W61" s="1"/>
    </row>
    <row r="62" spans="1:23" s="68" customFormat="1">
      <c r="A62" s="348">
        <f t="shared" si="0"/>
        <v>48</v>
      </c>
      <c r="B62" s="378" t="s">
        <v>149</v>
      </c>
      <c r="C62" s="561" t="s">
        <v>916</v>
      </c>
      <c r="D62" s="555" t="s">
        <v>921</v>
      </c>
      <c r="E62" s="555" t="s">
        <v>77</v>
      </c>
      <c r="F62" s="379">
        <v>50</v>
      </c>
      <c r="G62" s="557"/>
      <c r="H62" s="145"/>
      <c r="I62" s="148"/>
      <c r="J62" s="148"/>
      <c r="K62" s="148"/>
      <c r="L62" s="145"/>
      <c r="M62" s="145"/>
      <c r="N62" s="145"/>
      <c r="O62" s="145"/>
      <c r="P62" s="145"/>
      <c r="Q62" s="145"/>
      <c r="W62" s="1"/>
    </row>
    <row r="63" spans="1:23" s="68" customFormat="1">
      <c r="A63" s="348">
        <f t="shared" si="0"/>
        <v>49</v>
      </c>
      <c r="B63" s="378" t="s">
        <v>149</v>
      </c>
      <c r="C63" s="561" t="s">
        <v>916</v>
      </c>
      <c r="D63" s="555" t="s">
        <v>922</v>
      </c>
      <c r="E63" s="555" t="s">
        <v>77</v>
      </c>
      <c r="F63" s="379">
        <v>25</v>
      </c>
      <c r="G63" s="557"/>
      <c r="H63" s="145"/>
      <c r="I63" s="148"/>
      <c r="J63" s="148"/>
      <c r="K63" s="148"/>
      <c r="L63" s="145"/>
      <c r="M63" s="145"/>
      <c r="N63" s="145"/>
      <c r="O63" s="145"/>
      <c r="P63" s="145"/>
      <c r="Q63" s="145"/>
      <c r="W63" s="1"/>
    </row>
    <row r="64" spans="1:23" s="68" customFormat="1" ht="24">
      <c r="A64" s="348">
        <f t="shared" si="0"/>
        <v>50</v>
      </c>
      <c r="B64" s="378" t="s">
        <v>149</v>
      </c>
      <c r="C64" s="377" t="s">
        <v>923</v>
      </c>
      <c r="D64" s="555" t="s">
        <v>924</v>
      </c>
      <c r="E64" s="434" t="s">
        <v>77</v>
      </c>
      <c r="F64" s="354">
        <v>1860</v>
      </c>
      <c r="G64" s="556"/>
      <c r="H64" s="145"/>
      <c r="I64" s="148"/>
      <c r="J64" s="148"/>
      <c r="K64" s="148"/>
      <c r="L64" s="145"/>
      <c r="M64" s="145"/>
      <c r="N64" s="145"/>
      <c r="O64" s="145"/>
      <c r="P64" s="145"/>
      <c r="Q64" s="145"/>
      <c r="W64" s="1"/>
    </row>
    <row r="65" spans="1:23" s="68" customFormat="1" ht="24">
      <c r="A65" s="348">
        <f t="shared" si="0"/>
        <v>51</v>
      </c>
      <c r="B65" s="378" t="s">
        <v>149</v>
      </c>
      <c r="C65" s="377" t="s">
        <v>925</v>
      </c>
      <c r="D65" s="555" t="s">
        <v>924</v>
      </c>
      <c r="E65" s="434" t="s">
        <v>77</v>
      </c>
      <c r="F65" s="354">
        <v>50</v>
      </c>
      <c r="G65" s="556"/>
      <c r="H65" s="145"/>
      <c r="I65" s="148"/>
      <c r="J65" s="148"/>
      <c r="K65" s="148"/>
      <c r="L65" s="145"/>
      <c r="M65" s="145"/>
      <c r="N65" s="145"/>
      <c r="O65" s="145"/>
      <c r="P65" s="145"/>
      <c r="Q65" s="145"/>
      <c r="W65" s="1"/>
    </row>
    <row r="66" spans="1:23" s="68" customFormat="1" ht="24">
      <c r="A66" s="348">
        <f t="shared" si="0"/>
        <v>52</v>
      </c>
      <c r="B66" s="378" t="s">
        <v>149</v>
      </c>
      <c r="C66" s="377" t="s">
        <v>926</v>
      </c>
      <c r="D66" s="555" t="s">
        <v>924</v>
      </c>
      <c r="E66" s="434" t="s">
        <v>77</v>
      </c>
      <c r="F66" s="354">
        <v>65</v>
      </c>
      <c r="G66" s="556"/>
      <c r="H66" s="145"/>
      <c r="I66" s="148"/>
      <c r="J66" s="148"/>
      <c r="K66" s="148"/>
      <c r="L66" s="145"/>
      <c r="M66" s="145"/>
      <c r="N66" s="145"/>
      <c r="O66" s="145"/>
      <c r="P66" s="145"/>
      <c r="Q66" s="145"/>
      <c r="W66" s="1"/>
    </row>
    <row r="67" spans="1:23" s="68" customFormat="1" ht="24">
      <c r="A67" s="348">
        <f t="shared" si="0"/>
        <v>53</v>
      </c>
      <c r="B67" s="378" t="s">
        <v>149</v>
      </c>
      <c r="C67" s="377" t="s">
        <v>927</v>
      </c>
      <c r="D67" s="555" t="s">
        <v>924</v>
      </c>
      <c r="E67" s="434" t="s">
        <v>77</v>
      </c>
      <c r="F67" s="379">
        <v>35</v>
      </c>
      <c r="G67" s="557"/>
      <c r="H67" s="145"/>
      <c r="I67" s="148"/>
      <c r="J67" s="148"/>
      <c r="K67" s="148"/>
      <c r="L67" s="145"/>
      <c r="M67" s="145"/>
      <c r="N67" s="145"/>
      <c r="O67" s="145"/>
      <c r="P67" s="145"/>
      <c r="Q67" s="145"/>
      <c r="W67" s="1"/>
    </row>
    <row r="68" spans="1:23" s="68" customFormat="1" ht="24">
      <c r="A68" s="348">
        <f t="shared" si="0"/>
        <v>54</v>
      </c>
      <c r="B68" s="378" t="s">
        <v>149</v>
      </c>
      <c r="C68" s="377" t="s">
        <v>928</v>
      </c>
      <c r="D68" s="555" t="s">
        <v>924</v>
      </c>
      <c r="E68" s="434" t="s">
        <v>77</v>
      </c>
      <c r="F68" s="379">
        <v>50</v>
      </c>
      <c r="G68" s="557"/>
      <c r="H68" s="145"/>
      <c r="I68" s="148"/>
      <c r="J68" s="148"/>
      <c r="K68" s="148"/>
      <c r="L68" s="145"/>
      <c r="M68" s="145"/>
      <c r="N68" s="145"/>
      <c r="O68" s="145"/>
      <c r="P68" s="145"/>
      <c r="Q68" s="145"/>
      <c r="W68" s="1"/>
    </row>
    <row r="69" spans="1:23" s="68" customFormat="1" ht="24">
      <c r="A69" s="348">
        <f t="shared" si="0"/>
        <v>55</v>
      </c>
      <c r="B69" s="378" t="s">
        <v>149</v>
      </c>
      <c r="C69" s="377" t="s">
        <v>929</v>
      </c>
      <c r="D69" s="555" t="s">
        <v>924</v>
      </c>
      <c r="E69" s="434" t="s">
        <v>77</v>
      </c>
      <c r="F69" s="379">
        <v>25</v>
      </c>
      <c r="G69" s="557"/>
      <c r="H69" s="145"/>
      <c r="I69" s="148"/>
      <c r="J69" s="148"/>
      <c r="K69" s="148"/>
      <c r="L69" s="145"/>
      <c r="M69" s="145"/>
      <c r="N69" s="145"/>
      <c r="O69" s="145"/>
      <c r="P69" s="145"/>
      <c r="Q69" s="145"/>
      <c r="W69" s="1"/>
    </row>
    <row r="70" spans="1:23" s="68" customFormat="1">
      <c r="A70" s="348">
        <f t="shared" si="0"/>
        <v>56</v>
      </c>
      <c r="B70" s="378" t="s">
        <v>149</v>
      </c>
      <c r="C70" s="377" t="s">
        <v>930</v>
      </c>
      <c r="D70" s="555"/>
      <c r="E70" s="434" t="s">
        <v>93</v>
      </c>
      <c r="F70" s="354">
        <v>2</v>
      </c>
      <c r="G70" s="556"/>
      <c r="H70" s="145"/>
      <c r="I70" s="148"/>
      <c r="J70" s="148"/>
      <c r="K70" s="148"/>
      <c r="L70" s="145"/>
      <c r="M70" s="145"/>
      <c r="N70" s="145"/>
      <c r="O70" s="145"/>
      <c r="P70" s="145"/>
      <c r="Q70" s="145"/>
      <c r="W70" s="1"/>
    </row>
    <row r="71" spans="1:23" s="68" customFormat="1">
      <c r="A71" s="348">
        <f t="shared" si="0"/>
        <v>57</v>
      </c>
      <c r="B71" s="378" t="s">
        <v>149</v>
      </c>
      <c r="C71" s="377" t="s">
        <v>931</v>
      </c>
      <c r="D71" s="555"/>
      <c r="E71" s="434" t="s">
        <v>93</v>
      </c>
      <c r="F71" s="354">
        <v>18</v>
      </c>
      <c r="G71" s="556"/>
      <c r="H71" s="145"/>
      <c r="I71" s="148"/>
      <c r="J71" s="148"/>
      <c r="K71" s="148"/>
      <c r="L71" s="145"/>
      <c r="M71" s="145"/>
      <c r="N71" s="145"/>
      <c r="O71" s="145"/>
      <c r="P71" s="145"/>
      <c r="Q71" s="145"/>
      <c r="W71" s="1"/>
    </row>
    <row r="72" spans="1:23" s="68" customFormat="1" ht="36">
      <c r="A72" s="348">
        <f t="shared" si="0"/>
        <v>58</v>
      </c>
      <c r="B72" s="378" t="s">
        <v>149</v>
      </c>
      <c r="C72" s="377" t="s">
        <v>932</v>
      </c>
      <c r="D72" s="555" t="s">
        <v>933</v>
      </c>
      <c r="E72" s="434" t="s">
        <v>93</v>
      </c>
      <c r="F72" s="354">
        <v>4</v>
      </c>
      <c r="G72" s="556"/>
      <c r="H72" s="145"/>
      <c r="I72" s="148"/>
      <c r="J72" s="148"/>
      <c r="K72" s="148"/>
      <c r="L72" s="145"/>
      <c r="M72" s="145"/>
      <c r="N72" s="145"/>
      <c r="O72" s="145"/>
      <c r="P72" s="145"/>
      <c r="Q72" s="145"/>
      <c r="W72" s="1"/>
    </row>
    <row r="73" spans="1:23" s="68" customFormat="1">
      <c r="A73" s="348">
        <f t="shared" si="0"/>
        <v>59</v>
      </c>
      <c r="B73" s="378" t="s">
        <v>149</v>
      </c>
      <c r="C73" s="562" t="s">
        <v>934</v>
      </c>
      <c r="D73" s="559"/>
      <c r="E73" s="559" t="s">
        <v>100</v>
      </c>
      <c r="F73" s="379">
        <v>1</v>
      </c>
      <c r="G73" s="559"/>
      <c r="H73" s="145"/>
      <c r="I73" s="148"/>
      <c r="J73" s="148"/>
      <c r="K73" s="148"/>
      <c r="L73" s="145"/>
      <c r="M73" s="145"/>
      <c r="N73" s="145"/>
      <c r="O73" s="145"/>
      <c r="P73" s="145"/>
      <c r="Q73" s="145"/>
      <c r="W73" s="1"/>
    </row>
    <row r="74" spans="1:23" s="68" customFormat="1">
      <c r="A74" s="348">
        <f t="shared" si="0"/>
        <v>60</v>
      </c>
      <c r="B74" s="378" t="s">
        <v>149</v>
      </c>
      <c r="C74" s="562" t="s">
        <v>935</v>
      </c>
      <c r="D74" s="559"/>
      <c r="E74" s="559" t="s">
        <v>100</v>
      </c>
      <c r="F74" s="379">
        <v>1</v>
      </c>
      <c r="G74" s="559"/>
      <c r="H74" s="145"/>
      <c r="I74" s="148"/>
      <c r="J74" s="148"/>
      <c r="K74" s="148"/>
      <c r="L74" s="145"/>
      <c r="M74" s="145"/>
      <c r="N74" s="145"/>
      <c r="O74" s="145"/>
      <c r="P74" s="145"/>
      <c r="Q74" s="145"/>
      <c r="W74" s="1"/>
    </row>
    <row r="75" spans="1:23" s="68" customFormat="1">
      <c r="A75" s="348">
        <f t="shared" si="0"/>
        <v>61</v>
      </c>
      <c r="B75" s="378" t="s">
        <v>149</v>
      </c>
      <c r="C75" s="562" t="s">
        <v>936</v>
      </c>
      <c r="D75" s="559"/>
      <c r="E75" s="559" t="s">
        <v>100</v>
      </c>
      <c r="F75" s="379">
        <v>1</v>
      </c>
      <c r="G75" s="559"/>
      <c r="H75" s="145"/>
      <c r="I75" s="148"/>
      <c r="J75" s="148"/>
      <c r="K75" s="148"/>
      <c r="L75" s="145"/>
      <c r="M75" s="145"/>
      <c r="N75" s="145"/>
      <c r="O75" s="145"/>
      <c r="P75" s="145"/>
      <c r="Q75" s="145"/>
      <c r="W75" s="1"/>
    </row>
    <row r="76" spans="1:23" s="68" customFormat="1">
      <c r="A76" s="348">
        <f t="shared" si="0"/>
        <v>62</v>
      </c>
      <c r="B76" s="378" t="s">
        <v>149</v>
      </c>
      <c r="C76" s="562" t="s">
        <v>937</v>
      </c>
      <c r="D76" s="559"/>
      <c r="E76" s="559" t="s">
        <v>100</v>
      </c>
      <c r="F76" s="379">
        <v>1</v>
      </c>
      <c r="G76" s="559"/>
      <c r="H76" s="145"/>
      <c r="I76" s="148"/>
      <c r="J76" s="148"/>
      <c r="K76" s="148"/>
      <c r="L76" s="145"/>
      <c r="M76" s="145"/>
      <c r="N76" s="145"/>
      <c r="O76" s="145"/>
      <c r="P76" s="145"/>
      <c r="Q76" s="145"/>
      <c r="W76" s="1"/>
    </row>
    <row r="77" spans="1:23" s="68" customFormat="1">
      <c r="A77" s="348">
        <f t="shared" si="0"/>
        <v>63</v>
      </c>
      <c r="B77" s="378" t="s">
        <v>149</v>
      </c>
      <c r="C77" s="562" t="s">
        <v>938</v>
      </c>
      <c r="D77" s="559"/>
      <c r="E77" s="559" t="s">
        <v>100</v>
      </c>
      <c r="F77" s="379">
        <v>1</v>
      </c>
      <c r="G77" s="559"/>
      <c r="H77" s="145"/>
      <c r="I77" s="148"/>
      <c r="J77" s="148"/>
      <c r="K77" s="148"/>
      <c r="L77" s="145"/>
      <c r="M77" s="145"/>
      <c r="N77" s="145"/>
      <c r="O77" s="145"/>
      <c r="P77" s="145"/>
      <c r="Q77" s="145"/>
      <c r="W77" s="1"/>
    </row>
    <row r="78" spans="1:23" s="68" customFormat="1">
      <c r="A78" s="348">
        <f t="shared" si="0"/>
        <v>64</v>
      </c>
      <c r="B78" s="378" t="s">
        <v>149</v>
      </c>
      <c r="C78" s="562" t="s">
        <v>939</v>
      </c>
      <c r="D78" s="559"/>
      <c r="E78" s="559" t="s">
        <v>100</v>
      </c>
      <c r="F78" s="379">
        <v>1</v>
      </c>
      <c r="G78" s="559"/>
      <c r="H78" s="145"/>
      <c r="I78" s="148"/>
      <c r="J78" s="148"/>
      <c r="K78" s="148"/>
      <c r="L78" s="145"/>
      <c r="M78" s="145"/>
      <c r="N78" s="145"/>
      <c r="O78" s="145"/>
      <c r="P78" s="145"/>
      <c r="Q78" s="145"/>
      <c r="W78" s="1"/>
    </row>
    <row r="79" spans="1:23" s="68" customFormat="1">
      <c r="A79" s="380">
        <f t="shared" ref="A79:A118" si="1">A78+1</f>
        <v>65</v>
      </c>
      <c r="B79" s="382" t="s">
        <v>149</v>
      </c>
      <c r="C79" s="563" t="s">
        <v>111</v>
      </c>
      <c r="D79" s="564"/>
      <c r="E79" s="564" t="s">
        <v>100</v>
      </c>
      <c r="F79" s="383">
        <v>1</v>
      </c>
      <c r="G79" s="564"/>
      <c r="H79" s="150"/>
      <c r="I79" s="151"/>
      <c r="J79" s="151"/>
      <c r="K79" s="151"/>
      <c r="L79" s="150"/>
      <c r="M79" s="150"/>
      <c r="N79" s="150"/>
      <c r="O79" s="150"/>
      <c r="P79" s="150"/>
      <c r="Q79" s="150"/>
      <c r="W79" s="1"/>
    </row>
    <row r="80" spans="1:23" s="68" customFormat="1">
      <c r="A80" s="370"/>
      <c r="B80" s="500"/>
      <c r="C80" s="371" t="s">
        <v>940</v>
      </c>
      <c r="D80" s="547"/>
      <c r="E80" s="547"/>
      <c r="F80" s="580"/>
      <c r="G80" s="547"/>
      <c r="H80" s="135"/>
      <c r="I80" s="152"/>
      <c r="J80" s="152"/>
      <c r="K80" s="152"/>
      <c r="L80" s="135"/>
      <c r="M80" s="135"/>
      <c r="N80" s="135"/>
      <c r="O80" s="135"/>
      <c r="P80" s="135"/>
      <c r="Q80" s="135"/>
      <c r="W80" s="1"/>
    </row>
    <row r="81" spans="1:23" s="68" customFormat="1" ht="48">
      <c r="A81" s="385">
        <f>A79+1</f>
        <v>66</v>
      </c>
      <c r="B81" s="387" t="s">
        <v>149</v>
      </c>
      <c r="C81" s="386" t="s">
        <v>941</v>
      </c>
      <c r="D81" s="387" t="s">
        <v>942</v>
      </c>
      <c r="E81" s="387" t="s">
        <v>100</v>
      </c>
      <c r="F81" s="433">
        <v>5</v>
      </c>
      <c r="G81" s="553"/>
      <c r="H81" s="146"/>
      <c r="I81" s="149"/>
      <c r="J81" s="149"/>
      <c r="K81" s="149"/>
      <c r="L81" s="146"/>
      <c r="M81" s="146"/>
      <c r="N81" s="146"/>
      <c r="O81" s="146"/>
      <c r="P81" s="146"/>
      <c r="Q81" s="146"/>
      <c r="W81" s="1"/>
    </row>
    <row r="82" spans="1:23" s="68" customFormat="1" ht="36">
      <c r="A82" s="348">
        <f t="shared" si="1"/>
        <v>67</v>
      </c>
      <c r="B82" s="378" t="s">
        <v>149</v>
      </c>
      <c r="C82" s="561" t="s">
        <v>943</v>
      </c>
      <c r="D82" s="555" t="s">
        <v>944</v>
      </c>
      <c r="E82" s="378" t="s">
        <v>100</v>
      </c>
      <c r="F82" s="354">
        <v>3</v>
      </c>
      <c r="G82" s="378"/>
      <c r="H82" s="145"/>
      <c r="I82" s="148"/>
      <c r="J82" s="148"/>
      <c r="K82" s="148"/>
      <c r="L82" s="145"/>
      <c r="M82" s="145"/>
      <c r="N82" s="145"/>
      <c r="O82" s="145"/>
      <c r="P82" s="145"/>
      <c r="Q82" s="145"/>
      <c r="W82" s="1"/>
    </row>
    <row r="83" spans="1:23" s="68" customFormat="1" ht="36">
      <c r="A83" s="348">
        <f t="shared" si="1"/>
        <v>68</v>
      </c>
      <c r="B83" s="378" t="s">
        <v>149</v>
      </c>
      <c r="C83" s="561" t="s">
        <v>943</v>
      </c>
      <c r="D83" s="555" t="s">
        <v>945</v>
      </c>
      <c r="E83" s="378" t="s">
        <v>100</v>
      </c>
      <c r="F83" s="354">
        <v>1</v>
      </c>
      <c r="G83" s="378"/>
      <c r="H83" s="145"/>
      <c r="I83" s="148"/>
      <c r="J83" s="148"/>
      <c r="K83" s="148"/>
      <c r="L83" s="145"/>
      <c r="M83" s="145"/>
      <c r="N83" s="145"/>
      <c r="O83" s="145"/>
      <c r="P83" s="145"/>
      <c r="Q83" s="145"/>
      <c r="W83" s="1"/>
    </row>
    <row r="84" spans="1:23" s="68" customFormat="1" ht="36">
      <c r="A84" s="348">
        <f t="shared" si="1"/>
        <v>69</v>
      </c>
      <c r="B84" s="378" t="s">
        <v>149</v>
      </c>
      <c r="C84" s="561" t="s">
        <v>943</v>
      </c>
      <c r="D84" s="555" t="s">
        <v>946</v>
      </c>
      <c r="E84" s="378" t="s">
        <v>100</v>
      </c>
      <c r="F84" s="354">
        <v>1</v>
      </c>
      <c r="G84" s="378"/>
      <c r="H84" s="145"/>
      <c r="I84" s="148"/>
      <c r="J84" s="148"/>
      <c r="K84" s="148"/>
      <c r="L84" s="145"/>
      <c r="M84" s="145"/>
      <c r="N84" s="145"/>
      <c r="O84" s="145"/>
      <c r="P84" s="145"/>
      <c r="Q84" s="145"/>
      <c r="W84" s="1"/>
    </row>
    <row r="85" spans="1:23" s="68" customFormat="1">
      <c r="A85" s="348">
        <f t="shared" si="1"/>
        <v>70</v>
      </c>
      <c r="B85" s="378" t="s">
        <v>149</v>
      </c>
      <c r="C85" s="561" t="s">
        <v>910</v>
      </c>
      <c r="D85" s="555" t="s">
        <v>947</v>
      </c>
      <c r="E85" s="555" t="s">
        <v>90</v>
      </c>
      <c r="F85" s="354">
        <v>2</v>
      </c>
      <c r="G85" s="556"/>
      <c r="H85" s="145"/>
      <c r="I85" s="148"/>
      <c r="J85" s="148"/>
      <c r="K85" s="148"/>
      <c r="L85" s="145"/>
      <c r="M85" s="145"/>
      <c r="N85" s="145"/>
      <c r="O85" s="145"/>
      <c r="P85" s="145"/>
      <c r="Q85" s="145"/>
      <c r="W85" s="1"/>
    </row>
    <row r="86" spans="1:23" s="68" customFormat="1">
      <c r="A86" s="348">
        <f t="shared" si="1"/>
        <v>71</v>
      </c>
      <c r="B86" s="378" t="s">
        <v>149</v>
      </c>
      <c r="C86" s="561" t="s">
        <v>910</v>
      </c>
      <c r="D86" s="555" t="s">
        <v>948</v>
      </c>
      <c r="E86" s="555" t="s">
        <v>90</v>
      </c>
      <c r="F86" s="354">
        <v>2</v>
      </c>
      <c r="G86" s="556"/>
      <c r="H86" s="145"/>
      <c r="I86" s="148"/>
      <c r="J86" s="148"/>
      <c r="K86" s="148"/>
      <c r="L86" s="145"/>
      <c r="M86" s="145"/>
      <c r="N86" s="145"/>
      <c r="O86" s="145"/>
      <c r="P86" s="145"/>
      <c r="Q86" s="145"/>
      <c r="W86" s="1"/>
    </row>
    <row r="87" spans="1:23" s="68" customFormat="1">
      <c r="A87" s="348">
        <f t="shared" si="1"/>
        <v>72</v>
      </c>
      <c r="B87" s="378" t="s">
        <v>149</v>
      </c>
      <c r="C87" s="561" t="s">
        <v>910</v>
      </c>
      <c r="D87" s="555" t="s">
        <v>949</v>
      </c>
      <c r="E87" s="555" t="s">
        <v>90</v>
      </c>
      <c r="F87" s="354">
        <v>1</v>
      </c>
      <c r="G87" s="556"/>
      <c r="H87" s="145"/>
      <c r="I87" s="148"/>
      <c r="J87" s="148"/>
      <c r="K87" s="148"/>
      <c r="L87" s="145"/>
      <c r="M87" s="145"/>
      <c r="N87" s="145"/>
      <c r="O87" s="145"/>
      <c r="P87" s="145"/>
      <c r="Q87" s="145"/>
      <c r="W87" s="1"/>
    </row>
    <row r="88" spans="1:23" s="68" customFormat="1" ht="24">
      <c r="A88" s="348">
        <f t="shared" si="1"/>
        <v>73</v>
      </c>
      <c r="B88" s="378" t="s">
        <v>149</v>
      </c>
      <c r="C88" s="561" t="s">
        <v>913</v>
      </c>
      <c r="D88" s="555" t="s">
        <v>915</v>
      </c>
      <c r="E88" s="555" t="s">
        <v>90</v>
      </c>
      <c r="F88" s="354">
        <v>2</v>
      </c>
      <c r="G88" s="556"/>
      <c r="H88" s="145"/>
      <c r="I88" s="148"/>
      <c r="J88" s="148"/>
      <c r="K88" s="148"/>
      <c r="L88" s="145"/>
      <c r="M88" s="145"/>
      <c r="N88" s="145"/>
      <c r="O88" s="145"/>
      <c r="P88" s="145"/>
      <c r="Q88" s="145"/>
      <c r="W88" s="1"/>
    </row>
    <row r="89" spans="1:23" s="68" customFormat="1" ht="24">
      <c r="A89" s="348">
        <f t="shared" si="1"/>
        <v>74</v>
      </c>
      <c r="B89" s="378" t="s">
        <v>149</v>
      </c>
      <c r="C89" s="561" t="s">
        <v>913</v>
      </c>
      <c r="D89" s="555" t="s">
        <v>950</v>
      </c>
      <c r="E89" s="555" t="s">
        <v>90</v>
      </c>
      <c r="F89" s="354">
        <v>4</v>
      </c>
      <c r="G89" s="556"/>
      <c r="H89" s="145"/>
      <c r="I89" s="148"/>
      <c r="J89" s="148"/>
      <c r="K89" s="148"/>
      <c r="L89" s="145"/>
      <c r="M89" s="145"/>
      <c r="N89" s="145"/>
      <c r="O89" s="145"/>
      <c r="P89" s="145"/>
      <c r="Q89" s="145"/>
      <c r="W89" s="1"/>
    </row>
    <row r="90" spans="1:23" s="68" customFormat="1" ht="24">
      <c r="A90" s="348">
        <f t="shared" si="1"/>
        <v>75</v>
      </c>
      <c r="B90" s="378" t="s">
        <v>149</v>
      </c>
      <c r="C90" s="561" t="s">
        <v>913</v>
      </c>
      <c r="D90" s="555" t="s">
        <v>951</v>
      </c>
      <c r="E90" s="555" t="s">
        <v>90</v>
      </c>
      <c r="F90" s="379">
        <v>3</v>
      </c>
      <c r="G90" s="559"/>
      <c r="H90" s="145"/>
      <c r="I90" s="148"/>
      <c r="J90" s="148"/>
      <c r="K90" s="148"/>
      <c r="L90" s="145"/>
      <c r="M90" s="145"/>
      <c r="N90" s="145"/>
      <c r="O90" s="145"/>
      <c r="P90" s="145"/>
      <c r="Q90" s="145"/>
      <c r="W90" s="1"/>
    </row>
    <row r="91" spans="1:23" s="68" customFormat="1" ht="24">
      <c r="A91" s="348">
        <f t="shared" si="1"/>
        <v>76</v>
      </c>
      <c r="B91" s="378" t="s">
        <v>149</v>
      </c>
      <c r="C91" s="561" t="s">
        <v>913</v>
      </c>
      <c r="D91" s="555" t="s">
        <v>952</v>
      </c>
      <c r="E91" s="555" t="s">
        <v>90</v>
      </c>
      <c r="F91" s="379">
        <v>1</v>
      </c>
      <c r="G91" s="559"/>
      <c r="H91" s="145"/>
      <c r="I91" s="148"/>
      <c r="J91" s="148"/>
      <c r="K91" s="148"/>
      <c r="L91" s="145"/>
      <c r="M91" s="145"/>
      <c r="N91" s="145"/>
      <c r="O91" s="145"/>
      <c r="P91" s="145"/>
      <c r="Q91" s="145"/>
      <c r="W91" s="1"/>
    </row>
    <row r="92" spans="1:23" s="68" customFormat="1">
      <c r="A92" s="348">
        <f t="shared" si="1"/>
        <v>77</v>
      </c>
      <c r="B92" s="378" t="s">
        <v>149</v>
      </c>
      <c r="C92" s="561" t="s">
        <v>953</v>
      </c>
      <c r="D92" s="555" t="s">
        <v>954</v>
      </c>
      <c r="E92" s="434" t="s">
        <v>93</v>
      </c>
      <c r="F92" s="354">
        <v>2</v>
      </c>
      <c r="G92" s="556"/>
      <c r="H92" s="145"/>
      <c r="I92" s="148"/>
      <c r="J92" s="148"/>
      <c r="K92" s="148"/>
      <c r="L92" s="145"/>
      <c r="M92" s="145"/>
      <c r="N92" s="145"/>
      <c r="O92" s="145"/>
      <c r="P92" s="145"/>
      <c r="Q92" s="145"/>
      <c r="W92" s="1"/>
    </row>
    <row r="93" spans="1:23" s="68" customFormat="1">
      <c r="A93" s="348">
        <f t="shared" si="1"/>
        <v>78</v>
      </c>
      <c r="B93" s="378" t="s">
        <v>149</v>
      </c>
      <c r="C93" s="561" t="s">
        <v>953</v>
      </c>
      <c r="D93" s="555" t="s">
        <v>955</v>
      </c>
      <c r="E93" s="434" t="s">
        <v>93</v>
      </c>
      <c r="F93" s="354">
        <v>2</v>
      </c>
      <c r="G93" s="556"/>
      <c r="H93" s="145"/>
      <c r="I93" s="148"/>
      <c r="J93" s="148"/>
      <c r="K93" s="148"/>
      <c r="L93" s="145"/>
      <c r="M93" s="145"/>
      <c r="N93" s="145"/>
      <c r="O93" s="145"/>
      <c r="P93" s="145"/>
      <c r="Q93" s="145"/>
      <c r="W93" s="1"/>
    </row>
    <row r="94" spans="1:23" s="68" customFormat="1">
      <c r="A94" s="348">
        <f t="shared" si="1"/>
        <v>79</v>
      </c>
      <c r="B94" s="378" t="s">
        <v>149</v>
      </c>
      <c r="C94" s="561" t="s">
        <v>953</v>
      </c>
      <c r="D94" s="555" t="s">
        <v>956</v>
      </c>
      <c r="E94" s="434" t="s">
        <v>93</v>
      </c>
      <c r="F94" s="354">
        <v>1</v>
      </c>
      <c r="G94" s="556"/>
      <c r="H94" s="145"/>
      <c r="I94" s="148"/>
      <c r="J94" s="148"/>
      <c r="K94" s="148"/>
      <c r="L94" s="145"/>
      <c r="M94" s="145"/>
      <c r="N94" s="145"/>
      <c r="O94" s="145"/>
      <c r="P94" s="145"/>
      <c r="Q94" s="145"/>
      <c r="W94" s="1"/>
    </row>
    <row r="95" spans="1:23" s="68" customFormat="1">
      <c r="A95" s="348">
        <f t="shared" si="1"/>
        <v>80</v>
      </c>
      <c r="B95" s="378" t="s">
        <v>149</v>
      </c>
      <c r="C95" s="561" t="s">
        <v>957</v>
      </c>
      <c r="D95" s="555" t="s">
        <v>955</v>
      </c>
      <c r="E95" s="434" t="s">
        <v>93</v>
      </c>
      <c r="F95" s="354">
        <v>2</v>
      </c>
      <c r="G95" s="556"/>
      <c r="H95" s="145"/>
      <c r="I95" s="148"/>
      <c r="J95" s="148"/>
      <c r="K95" s="148"/>
      <c r="L95" s="145"/>
      <c r="M95" s="145"/>
      <c r="N95" s="145"/>
      <c r="O95" s="145"/>
      <c r="P95" s="145"/>
      <c r="Q95" s="145"/>
      <c r="W95" s="1"/>
    </row>
    <row r="96" spans="1:23" s="68" customFormat="1">
      <c r="A96" s="348">
        <f t="shared" si="1"/>
        <v>81</v>
      </c>
      <c r="B96" s="378" t="s">
        <v>149</v>
      </c>
      <c r="C96" s="561" t="s">
        <v>957</v>
      </c>
      <c r="D96" s="555" t="s">
        <v>956</v>
      </c>
      <c r="E96" s="434" t="s">
        <v>93</v>
      </c>
      <c r="F96" s="354">
        <v>2</v>
      </c>
      <c r="G96" s="556"/>
      <c r="H96" s="145"/>
      <c r="I96" s="148"/>
      <c r="J96" s="148"/>
      <c r="K96" s="148"/>
      <c r="L96" s="145"/>
      <c r="M96" s="145"/>
      <c r="N96" s="145"/>
      <c r="O96" s="145"/>
      <c r="P96" s="145"/>
      <c r="Q96" s="145"/>
      <c r="W96" s="1"/>
    </row>
    <row r="97" spans="1:23" s="68" customFormat="1">
      <c r="A97" s="348">
        <f t="shared" si="1"/>
        <v>82</v>
      </c>
      <c r="B97" s="378" t="s">
        <v>149</v>
      </c>
      <c r="C97" s="561" t="s">
        <v>957</v>
      </c>
      <c r="D97" s="555" t="s">
        <v>958</v>
      </c>
      <c r="E97" s="434" t="s">
        <v>93</v>
      </c>
      <c r="F97" s="379">
        <v>1</v>
      </c>
      <c r="G97" s="559"/>
      <c r="H97" s="145"/>
      <c r="I97" s="148"/>
      <c r="J97" s="148"/>
      <c r="K97" s="148"/>
      <c r="L97" s="145"/>
      <c r="M97" s="145"/>
      <c r="N97" s="145"/>
      <c r="O97" s="145"/>
      <c r="P97" s="145"/>
      <c r="Q97" s="145"/>
      <c r="W97" s="1"/>
    </row>
    <row r="98" spans="1:23" s="68" customFormat="1">
      <c r="A98" s="348">
        <f t="shared" si="1"/>
        <v>83</v>
      </c>
      <c r="B98" s="378" t="s">
        <v>149</v>
      </c>
      <c r="C98" s="377" t="s">
        <v>1780</v>
      </c>
      <c r="D98" s="555"/>
      <c r="E98" s="434" t="s">
        <v>93</v>
      </c>
      <c r="F98" s="379">
        <v>15</v>
      </c>
      <c r="G98" s="557"/>
      <c r="H98" s="145"/>
      <c r="I98" s="148"/>
      <c r="J98" s="148"/>
      <c r="K98" s="148"/>
      <c r="L98" s="145"/>
      <c r="M98" s="145"/>
      <c r="N98" s="145"/>
      <c r="O98" s="145"/>
      <c r="P98" s="145"/>
      <c r="Q98" s="145"/>
      <c r="W98" s="1"/>
    </row>
    <row r="99" spans="1:23" s="68" customFormat="1">
      <c r="A99" s="348">
        <f t="shared" si="1"/>
        <v>84</v>
      </c>
      <c r="B99" s="378" t="s">
        <v>149</v>
      </c>
      <c r="C99" s="377" t="s">
        <v>959</v>
      </c>
      <c r="D99" s="555"/>
      <c r="E99" s="434" t="s">
        <v>93</v>
      </c>
      <c r="F99" s="379">
        <v>15</v>
      </c>
      <c r="G99" s="557"/>
      <c r="H99" s="145"/>
      <c r="I99" s="148"/>
      <c r="J99" s="148"/>
      <c r="K99" s="148"/>
      <c r="L99" s="145"/>
      <c r="M99" s="145"/>
      <c r="N99" s="145"/>
      <c r="O99" s="145"/>
      <c r="P99" s="145"/>
      <c r="Q99" s="145"/>
      <c r="W99" s="1"/>
    </row>
    <row r="100" spans="1:23" s="68" customFormat="1">
      <c r="A100" s="348">
        <f t="shared" si="1"/>
        <v>85</v>
      </c>
      <c r="B100" s="378" t="s">
        <v>149</v>
      </c>
      <c r="C100" s="561" t="s">
        <v>916</v>
      </c>
      <c r="D100" s="555" t="s">
        <v>920</v>
      </c>
      <c r="E100" s="555" t="s">
        <v>77</v>
      </c>
      <c r="F100" s="379">
        <v>30</v>
      </c>
      <c r="G100" s="557"/>
      <c r="H100" s="145"/>
      <c r="I100" s="148"/>
      <c r="J100" s="148"/>
      <c r="K100" s="148"/>
      <c r="L100" s="145"/>
      <c r="M100" s="145"/>
      <c r="N100" s="145"/>
      <c r="O100" s="145"/>
      <c r="P100" s="145"/>
      <c r="Q100" s="145"/>
      <c r="W100" s="1"/>
    </row>
    <row r="101" spans="1:23" s="68" customFormat="1">
      <c r="A101" s="348">
        <f t="shared" si="1"/>
        <v>86</v>
      </c>
      <c r="B101" s="378" t="s">
        <v>149</v>
      </c>
      <c r="C101" s="561" t="s">
        <v>916</v>
      </c>
      <c r="D101" s="555" t="s">
        <v>921</v>
      </c>
      <c r="E101" s="555" t="s">
        <v>77</v>
      </c>
      <c r="F101" s="379">
        <v>100</v>
      </c>
      <c r="G101" s="557"/>
      <c r="H101" s="145"/>
      <c r="I101" s="148"/>
      <c r="J101" s="148"/>
      <c r="K101" s="148"/>
      <c r="L101" s="145"/>
      <c r="M101" s="145"/>
      <c r="N101" s="145"/>
      <c r="O101" s="145"/>
      <c r="P101" s="145"/>
      <c r="Q101" s="145"/>
      <c r="W101" s="1"/>
    </row>
    <row r="102" spans="1:23" s="68" customFormat="1">
      <c r="A102" s="348">
        <f t="shared" si="1"/>
        <v>87</v>
      </c>
      <c r="B102" s="378" t="s">
        <v>149</v>
      </c>
      <c r="C102" s="561" t="s">
        <v>916</v>
      </c>
      <c r="D102" s="555" t="s">
        <v>922</v>
      </c>
      <c r="E102" s="555" t="s">
        <v>77</v>
      </c>
      <c r="F102" s="379">
        <v>20</v>
      </c>
      <c r="G102" s="557"/>
      <c r="H102" s="145"/>
      <c r="I102" s="148"/>
      <c r="J102" s="148"/>
      <c r="K102" s="148"/>
      <c r="L102" s="145"/>
      <c r="M102" s="145"/>
      <c r="N102" s="145"/>
      <c r="O102" s="145"/>
      <c r="P102" s="145"/>
      <c r="Q102" s="145"/>
      <c r="W102" s="1"/>
    </row>
    <row r="103" spans="1:23" s="68" customFormat="1">
      <c r="A103" s="348">
        <f t="shared" si="1"/>
        <v>88</v>
      </c>
      <c r="B103" s="378" t="s">
        <v>149</v>
      </c>
      <c r="C103" s="561" t="s">
        <v>916</v>
      </c>
      <c r="D103" s="555" t="s">
        <v>960</v>
      </c>
      <c r="E103" s="555" t="s">
        <v>77</v>
      </c>
      <c r="F103" s="379">
        <v>80</v>
      </c>
      <c r="G103" s="557"/>
      <c r="H103" s="145"/>
      <c r="I103" s="148"/>
      <c r="J103" s="148"/>
      <c r="K103" s="148"/>
      <c r="L103" s="145"/>
      <c r="M103" s="145"/>
      <c r="N103" s="145"/>
      <c r="O103" s="145"/>
      <c r="P103" s="145"/>
      <c r="Q103" s="145"/>
      <c r="W103" s="1"/>
    </row>
    <row r="104" spans="1:23" s="68" customFormat="1" ht="24">
      <c r="A104" s="348">
        <f t="shared" si="1"/>
        <v>89</v>
      </c>
      <c r="B104" s="378" t="s">
        <v>149</v>
      </c>
      <c r="C104" s="377" t="s">
        <v>927</v>
      </c>
      <c r="D104" s="555" t="s">
        <v>924</v>
      </c>
      <c r="E104" s="434" t="s">
        <v>77</v>
      </c>
      <c r="F104" s="379">
        <v>30</v>
      </c>
      <c r="G104" s="557"/>
      <c r="H104" s="145"/>
      <c r="I104" s="148"/>
      <c r="J104" s="148"/>
      <c r="K104" s="148"/>
      <c r="L104" s="145"/>
      <c r="M104" s="145"/>
      <c r="N104" s="145"/>
      <c r="O104" s="145"/>
      <c r="P104" s="145"/>
      <c r="Q104" s="145"/>
      <c r="W104" s="1"/>
    </row>
    <row r="105" spans="1:23" s="68" customFormat="1" ht="24">
      <c r="A105" s="348">
        <f t="shared" si="1"/>
        <v>90</v>
      </c>
      <c r="B105" s="378" t="s">
        <v>149</v>
      </c>
      <c r="C105" s="377" t="s">
        <v>928</v>
      </c>
      <c r="D105" s="555" t="s">
        <v>924</v>
      </c>
      <c r="E105" s="434" t="s">
        <v>77</v>
      </c>
      <c r="F105" s="379">
        <v>100</v>
      </c>
      <c r="G105" s="557"/>
      <c r="H105" s="145"/>
      <c r="I105" s="148"/>
      <c r="J105" s="148"/>
      <c r="K105" s="148"/>
      <c r="L105" s="145"/>
      <c r="M105" s="145"/>
      <c r="N105" s="145"/>
      <c r="O105" s="145"/>
      <c r="P105" s="145"/>
      <c r="Q105" s="145"/>
      <c r="W105" s="1"/>
    </row>
    <row r="106" spans="1:23" s="68" customFormat="1" ht="24">
      <c r="A106" s="348">
        <f t="shared" si="1"/>
        <v>91</v>
      </c>
      <c r="B106" s="378" t="s">
        <v>149</v>
      </c>
      <c r="C106" s="377" t="s">
        <v>929</v>
      </c>
      <c r="D106" s="555" t="s">
        <v>924</v>
      </c>
      <c r="E106" s="434" t="s">
        <v>77</v>
      </c>
      <c r="F106" s="379">
        <v>20</v>
      </c>
      <c r="G106" s="557"/>
      <c r="H106" s="145"/>
      <c r="I106" s="148"/>
      <c r="J106" s="148"/>
      <c r="K106" s="148"/>
      <c r="L106" s="145"/>
      <c r="M106" s="145"/>
      <c r="N106" s="145"/>
      <c r="O106" s="145"/>
      <c r="P106" s="145"/>
      <c r="Q106" s="145"/>
      <c r="W106" s="1"/>
    </row>
    <row r="107" spans="1:23" s="68" customFormat="1" ht="24">
      <c r="A107" s="348">
        <f t="shared" si="1"/>
        <v>92</v>
      </c>
      <c r="B107" s="378" t="s">
        <v>149</v>
      </c>
      <c r="C107" s="377" t="s">
        <v>961</v>
      </c>
      <c r="D107" s="555" t="s">
        <v>924</v>
      </c>
      <c r="E107" s="434" t="s">
        <v>77</v>
      </c>
      <c r="F107" s="379">
        <v>80</v>
      </c>
      <c r="G107" s="557"/>
      <c r="H107" s="145"/>
      <c r="I107" s="148"/>
      <c r="J107" s="148"/>
      <c r="K107" s="148"/>
      <c r="L107" s="145"/>
      <c r="M107" s="145"/>
      <c r="N107" s="145"/>
      <c r="O107" s="145"/>
      <c r="P107" s="145"/>
      <c r="Q107" s="145"/>
      <c r="W107" s="1"/>
    </row>
    <row r="108" spans="1:23" s="68" customFormat="1">
      <c r="A108" s="348">
        <f t="shared" si="1"/>
        <v>93</v>
      </c>
      <c r="B108" s="378" t="s">
        <v>149</v>
      </c>
      <c r="C108" s="377" t="s">
        <v>962</v>
      </c>
      <c r="D108" s="555"/>
      <c r="E108" s="434" t="s">
        <v>1781</v>
      </c>
      <c r="F108" s="379">
        <v>85</v>
      </c>
      <c r="G108" s="557"/>
      <c r="H108" s="145"/>
      <c r="I108" s="148"/>
      <c r="J108" s="148"/>
      <c r="K108" s="148"/>
      <c r="L108" s="145"/>
      <c r="M108" s="145"/>
      <c r="N108" s="145"/>
      <c r="O108" s="145"/>
      <c r="P108" s="145"/>
      <c r="Q108" s="145"/>
      <c r="W108" s="1"/>
    </row>
    <row r="109" spans="1:23" s="68" customFormat="1">
      <c r="A109" s="348">
        <f t="shared" si="1"/>
        <v>94</v>
      </c>
      <c r="B109" s="378" t="s">
        <v>149</v>
      </c>
      <c r="C109" s="377" t="s">
        <v>930</v>
      </c>
      <c r="D109" s="555"/>
      <c r="E109" s="434" t="s">
        <v>93</v>
      </c>
      <c r="F109" s="354">
        <v>5</v>
      </c>
      <c r="G109" s="556"/>
      <c r="H109" s="145"/>
      <c r="I109" s="148"/>
      <c r="J109" s="148"/>
      <c r="K109" s="148"/>
      <c r="L109" s="145"/>
      <c r="M109" s="145"/>
      <c r="N109" s="145"/>
      <c r="O109" s="145"/>
      <c r="P109" s="145"/>
      <c r="Q109" s="145"/>
      <c r="W109" s="1"/>
    </row>
    <row r="110" spans="1:23" s="68" customFormat="1">
      <c r="A110" s="348">
        <f t="shared" si="1"/>
        <v>95</v>
      </c>
      <c r="B110" s="378" t="s">
        <v>149</v>
      </c>
      <c r="C110" s="377" t="s">
        <v>931</v>
      </c>
      <c r="D110" s="555"/>
      <c r="E110" s="434" t="s">
        <v>93</v>
      </c>
      <c r="F110" s="354">
        <v>5</v>
      </c>
      <c r="G110" s="556"/>
      <c r="H110" s="145"/>
      <c r="I110" s="148"/>
      <c r="J110" s="148"/>
      <c r="K110" s="148"/>
      <c r="L110" s="145"/>
      <c r="M110" s="145"/>
      <c r="N110" s="145"/>
      <c r="O110" s="145"/>
      <c r="P110" s="145"/>
      <c r="Q110" s="145"/>
      <c r="W110" s="1"/>
    </row>
    <row r="111" spans="1:23" s="68" customFormat="1">
      <c r="A111" s="348">
        <f t="shared" si="1"/>
        <v>96</v>
      </c>
      <c r="B111" s="378" t="s">
        <v>149</v>
      </c>
      <c r="C111" s="562" t="s">
        <v>963</v>
      </c>
      <c r="D111" s="434"/>
      <c r="E111" s="559" t="s">
        <v>86</v>
      </c>
      <c r="F111" s="379">
        <v>300</v>
      </c>
      <c r="G111" s="559"/>
      <c r="H111" s="145"/>
      <c r="I111" s="148"/>
      <c r="J111" s="148"/>
      <c r="K111" s="148"/>
      <c r="L111" s="145"/>
      <c r="M111" s="145"/>
      <c r="N111" s="145"/>
      <c r="O111" s="145"/>
      <c r="P111" s="145"/>
      <c r="Q111" s="145"/>
      <c r="W111" s="1"/>
    </row>
    <row r="112" spans="1:23" s="68" customFormat="1">
      <c r="A112" s="348">
        <f t="shared" si="1"/>
        <v>97</v>
      </c>
      <c r="B112" s="378" t="s">
        <v>149</v>
      </c>
      <c r="C112" s="562" t="s">
        <v>934</v>
      </c>
      <c r="D112" s="559"/>
      <c r="E112" s="559" t="s">
        <v>100</v>
      </c>
      <c r="F112" s="379">
        <v>1</v>
      </c>
      <c r="G112" s="559"/>
      <c r="H112" s="145"/>
      <c r="I112" s="148"/>
      <c r="J112" s="148"/>
      <c r="K112" s="148"/>
      <c r="L112" s="145"/>
      <c r="M112" s="145"/>
      <c r="N112" s="145"/>
      <c r="O112" s="145"/>
      <c r="P112" s="145"/>
      <c r="Q112" s="145"/>
      <c r="W112" s="1"/>
    </row>
    <row r="113" spans="1:23" s="68" customFormat="1">
      <c r="A113" s="348">
        <f t="shared" si="1"/>
        <v>98</v>
      </c>
      <c r="B113" s="378" t="s">
        <v>149</v>
      </c>
      <c r="C113" s="562" t="s">
        <v>935</v>
      </c>
      <c r="D113" s="559"/>
      <c r="E113" s="559" t="s">
        <v>100</v>
      </c>
      <c r="F113" s="379">
        <v>1</v>
      </c>
      <c r="G113" s="559"/>
      <c r="H113" s="145"/>
      <c r="I113" s="148"/>
      <c r="J113" s="148"/>
      <c r="K113" s="148"/>
      <c r="L113" s="145"/>
      <c r="M113" s="145"/>
      <c r="N113" s="145"/>
      <c r="O113" s="145"/>
      <c r="P113" s="145"/>
      <c r="Q113" s="145"/>
      <c r="W113" s="1"/>
    </row>
    <row r="114" spans="1:23" s="68" customFormat="1">
      <c r="A114" s="348">
        <f t="shared" si="1"/>
        <v>99</v>
      </c>
      <c r="B114" s="378" t="s">
        <v>149</v>
      </c>
      <c r="C114" s="562" t="s">
        <v>936</v>
      </c>
      <c r="D114" s="559"/>
      <c r="E114" s="559" t="s">
        <v>100</v>
      </c>
      <c r="F114" s="379">
        <v>1</v>
      </c>
      <c r="G114" s="559"/>
      <c r="H114" s="145"/>
      <c r="I114" s="148"/>
      <c r="J114" s="148"/>
      <c r="K114" s="148"/>
      <c r="L114" s="145"/>
      <c r="M114" s="145"/>
      <c r="N114" s="145"/>
      <c r="O114" s="145"/>
      <c r="P114" s="145"/>
      <c r="Q114" s="145"/>
      <c r="W114" s="1"/>
    </row>
    <row r="115" spans="1:23" s="68" customFormat="1">
      <c r="A115" s="348">
        <f t="shared" si="1"/>
        <v>100</v>
      </c>
      <c r="B115" s="378" t="s">
        <v>149</v>
      </c>
      <c r="C115" s="562" t="s">
        <v>937</v>
      </c>
      <c r="D115" s="559"/>
      <c r="E115" s="559" t="s">
        <v>100</v>
      </c>
      <c r="F115" s="379">
        <v>1</v>
      </c>
      <c r="G115" s="559"/>
      <c r="H115" s="145"/>
      <c r="I115" s="148"/>
      <c r="J115" s="148"/>
      <c r="K115" s="148"/>
      <c r="L115" s="145"/>
      <c r="M115" s="145"/>
      <c r="N115" s="145"/>
      <c r="O115" s="145"/>
      <c r="P115" s="145"/>
      <c r="Q115" s="145"/>
      <c r="W115" s="1"/>
    </row>
    <row r="116" spans="1:23" s="68" customFormat="1">
      <c r="A116" s="348">
        <f t="shared" si="1"/>
        <v>101</v>
      </c>
      <c r="B116" s="378" t="s">
        <v>149</v>
      </c>
      <c r="C116" s="562" t="s">
        <v>938</v>
      </c>
      <c r="D116" s="559"/>
      <c r="E116" s="559" t="s">
        <v>100</v>
      </c>
      <c r="F116" s="379">
        <v>1</v>
      </c>
      <c r="G116" s="559"/>
      <c r="H116" s="145"/>
      <c r="I116" s="148"/>
      <c r="J116" s="148"/>
      <c r="K116" s="148"/>
      <c r="L116" s="145"/>
      <c r="M116" s="145"/>
      <c r="N116" s="145"/>
      <c r="O116" s="145"/>
      <c r="P116" s="145"/>
      <c r="Q116" s="145"/>
      <c r="W116" s="1"/>
    </row>
    <row r="117" spans="1:23" s="68" customFormat="1">
      <c r="A117" s="348">
        <f t="shared" si="1"/>
        <v>102</v>
      </c>
      <c r="B117" s="378" t="s">
        <v>149</v>
      </c>
      <c r="C117" s="562" t="s">
        <v>939</v>
      </c>
      <c r="D117" s="559"/>
      <c r="E117" s="559" t="s">
        <v>100</v>
      </c>
      <c r="F117" s="379">
        <v>1</v>
      </c>
      <c r="G117" s="559"/>
      <c r="H117" s="145"/>
      <c r="I117" s="148"/>
      <c r="J117" s="148"/>
      <c r="K117" s="148"/>
      <c r="L117" s="145"/>
      <c r="M117" s="145"/>
      <c r="N117" s="145"/>
      <c r="O117" s="145"/>
      <c r="P117" s="145"/>
      <c r="Q117" s="145"/>
      <c r="W117" s="1"/>
    </row>
    <row r="118" spans="1:23" s="68" customFormat="1">
      <c r="A118" s="380">
        <f t="shared" si="1"/>
        <v>103</v>
      </c>
      <c r="B118" s="382" t="s">
        <v>149</v>
      </c>
      <c r="C118" s="563" t="s">
        <v>111</v>
      </c>
      <c r="D118" s="564"/>
      <c r="E118" s="564" t="s">
        <v>100</v>
      </c>
      <c r="F118" s="383">
        <v>1</v>
      </c>
      <c r="G118" s="564"/>
      <c r="H118" s="150"/>
      <c r="I118" s="151"/>
      <c r="J118" s="151"/>
      <c r="K118" s="151"/>
      <c r="L118" s="150"/>
      <c r="M118" s="150"/>
      <c r="N118" s="150"/>
      <c r="O118" s="150"/>
      <c r="P118" s="150"/>
      <c r="Q118" s="150"/>
      <c r="W118" s="1"/>
    </row>
    <row r="119" spans="1:23" s="68" customFormat="1">
      <c r="A119" s="370"/>
      <c r="B119" s="500"/>
      <c r="C119" s="371" t="s">
        <v>964</v>
      </c>
      <c r="D119" s="547"/>
      <c r="E119" s="547"/>
      <c r="F119" s="580"/>
      <c r="G119" s="547"/>
      <c r="H119" s="135"/>
      <c r="I119" s="152"/>
      <c r="J119" s="152"/>
      <c r="K119" s="152"/>
      <c r="L119" s="135"/>
      <c r="M119" s="135"/>
      <c r="N119" s="135"/>
      <c r="O119" s="135"/>
      <c r="P119" s="135"/>
      <c r="Q119" s="135"/>
      <c r="W119" s="1"/>
    </row>
    <row r="120" spans="1:23" s="68" customFormat="1" ht="48">
      <c r="A120" s="385">
        <f>A118+1</f>
        <v>104</v>
      </c>
      <c r="B120" s="387" t="s">
        <v>149</v>
      </c>
      <c r="C120" s="551" t="s">
        <v>965</v>
      </c>
      <c r="D120" s="552"/>
      <c r="E120" s="387" t="s">
        <v>90</v>
      </c>
      <c r="F120" s="433">
        <v>1</v>
      </c>
      <c r="G120" s="387"/>
      <c r="H120" s="146"/>
      <c r="I120" s="149"/>
      <c r="J120" s="149"/>
      <c r="K120" s="149"/>
      <c r="L120" s="146"/>
      <c r="M120" s="146"/>
      <c r="N120" s="146"/>
      <c r="O120" s="146"/>
      <c r="P120" s="146"/>
      <c r="Q120" s="146"/>
      <c r="W120" s="1"/>
    </row>
    <row r="121" spans="1:23" s="68" customFormat="1" ht="48">
      <c r="A121" s="348">
        <f>A120+1</f>
        <v>105</v>
      </c>
      <c r="B121" s="378" t="s">
        <v>149</v>
      </c>
      <c r="C121" s="554" t="s">
        <v>966</v>
      </c>
      <c r="D121" s="555"/>
      <c r="E121" s="378" t="s">
        <v>90</v>
      </c>
      <c r="F121" s="354">
        <v>1</v>
      </c>
      <c r="G121" s="378"/>
      <c r="H121" s="145"/>
      <c r="I121" s="148"/>
      <c r="J121" s="148"/>
      <c r="K121" s="148"/>
      <c r="L121" s="145"/>
      <c r="M121" s="145"/>
      <c r="N121" s="145"/>
      <c r="O121" s="145"/>
      <c r="P121" s="145"/>
      <c r="Q121" s="145"/>
      <c r="W121" s="1"/>
    </row>
    <row r="122" spans="1:23" s="68" customFormat="1">
      <c r="A122" s="348">
        <f t="shared" ref="A122:A153" si="2">A121+1</f>
        <v>106</v>
      </c>
      <c r="B122" s="378" t="s">
        <v>149</v>
      </c>
      <c r="C122" s="554" t="s">
        <v>967</v>
      </c>
      <c r="D122" s="378" t="s">
        <v>968</v>
      </c>
      <c r="E122" s="565" t="s">
        <v>1781</v>
      </c>
      <c r="F122" s="582">
        <v>210</v>
      </c>
      <c r="G122" s="566"/>
      <c r="H122" s="145"/>
      <c r="I122" s="148"/>
      <c r="J122" s="148"/>
      <c r="K122" s="148"/>
      <c r="L122" s="145"/>
      <c r="M122" s="145"/>
      <c r="N122" s="145"/>
      <c r="O122" s="145"/>
      <c r="P122" s="145"/>
      <c r="Q122" s="145"/>
      <c r="W122" s="1"/>
    </row>
    <row r="123" spans="1:23" s="68" customFormat="1">
      <c r="A123" s="348">
        <f t="shared" si="2"/>
        <v>107</v>
      </c>
      <c r="B123" s="378" t="s">
        <v>149</v>
      </c>
      <c r="C123" s="554" t="s">
        <v>969</v>
      </c>
      <c r="D123" s="378"/>
      <c r="E123" s="565" t="s">
        <v>77</v>
      </c>
      <c r="F123" s="582">
        <v>240</v>
      </c>
      <c r="G123" s="566"/>
      <c r="H123" s="145"/>
      <c r="I123" s="148"/>
      <c r="J123" s="148"/>
      <c r="K123" s="148"/>
      <c r="L123" s="145"/>
      <c r="M123" s="145"/>
      <c r="N123" s="145"/>
      <c r="O123" s="145"/>
      <c r="P123" s="145"/>
      <c r="Q123" s="145"/>
      <c r="W123" s="1"/>
    </row>
    <row r="124" spans="1:23" s="68" customFormat="1" ht="24">
      <c r="A124" s="348">
        <f t="shared" si="2"/>
        <v>108</v>
      </c>
      <c r="B124" s="378" t="s">
        <v>149</v>
      </c>
      <c r="C124" s="561" t="s">
        <v>913</v>
      </c>
      <c r="D124" s="555" t="s">
        <v>915</v>
      </c>
      <c r="E124" s="555" t="s">
        <v>90</v>
      </c>
      <c r="F124" s="354">
        <v>1</v>
      </c>
      <c r="G124" s="556"/>
      <c r="H124" s="145"/>
      <c r="I124" s="148"/>
      <c r="J124" s="148"/>
      <c r="K124" s="148"/>
      <c r="L124" s="145"/>
      <c r="M124" s="145"/>
      <c r="N124" s="145"/>
      <c r="O124" s="145"/>
      <c r="P124" s="145"/>
      <c r="Q124" s="145"/>
      <c r="W124" s="1"/>
    </row>
    <row r="125" spans="1:23" s="68" customFormat="1" ht="24">
      <c r="A125" s="348">
        <f t="shared" si="2"/>
        <v>109</v>
      </c>
      <c r="B125" s="378" t="s">
        <v>149</v>
      </c>
      <c r="C125" s="561" t="s">
        <v>913</v>
      </c>
      <c r="D125" s="555" t="s">
        <v>950</v>
      </c>
      <c r="E125" s="555" t="s">
        <v>90</v>
      </c>
      <c r="F125" s="354">
        <v>1</v>
      </c>
      <c r="G125" s="556"/>
      <c r="H125" s="145"/>
      <c r="I125" s="148"/>
      <c r="J125" s="148"/>
      <c r="K125" s="148"/>
      <c r="L125" s="145"/>
      <c r="M125" s="145"/>
      <c r="N125" s="145"/>
      <c r="O125" s="145"/>
      <c r="P125" s="145"/>
      <c r="Q125" s="145"/>
      <c r="W125" s="1"/>
    </row>
    <row r="126" spans="1:23" s="68" customFormat="1">
      <c r="A126" s="348">
        <f t="shared" si="2"/>
        <v>110</v>
      </c>
      <c r="B126" s="378" t="s">
        <v>149</v>
      </c>
      <c r="C126" s="561" t="s">
        <v>910</v>
      </c>
      <c r="D126" s="555" t="s">
        <v>912</v>
      </c>
      <c r="E126" s="555" t="s">
        <v>90</v>
      </c>
      <c r="F126" s="354">
        <v>1</v>
      </c>
      <c r="G126" s="556"/>
      <c r="H126" s="145"/>
      <c r="I126" s="148"/>
      <c r="J126" s="148"/>
      <c r="K126" s="148"/>
      <c r="L126" s="145"/>
      <c r="M126" s="145"/>
      <c r="N126" s="145"/>
      <c r="O126" s="145"/>
      <c r="P126" s="145"/>
      <c r="Q126" s="145"/>
      <c r="W126" s="1"/>
    </row>
    <row r="127" spans="1:23" s="68" customFormat="1">
      <c r="A127" s="348">
        <f t="shared" si="2"/>
        <v>111</v>
      </c>
      <c r="B127" s="378" t="s">
        <v>149</v>
      </c>
      <c r="C127" s="561" t="s">
        <v>910</v>
      </c>
      <c r="D127" s="555" t="s">
        <v>947</v>
      </c>
      <c r="E127" s="565" t="s">
        <v>93</v>
      </c>
      <c r="F127" s="582">
        <v>1</v>
      </c>
      <c r="G127" s="566"/>
      <c r="H127" s="145"/>
      <c r="I127" s="148"/>
      <c r="J127" s="148"/>
      <c r="K127" s="148"/>
      <c r="L127" s="145"/>
      <c r="M127" s="145"/>
      <c r="N127" s="145"/>
      <c r="O127" s="145"/>
      <c r="P127" s="145"/>
      <c r="Q127" s="145"/>
      <c r="W127" s="1"/>
    </row>
    <row r="128" spans="1:23" s="68" customFormat="1">
      <c r="A128" s="348">
        <f t="shared" si="2"/>
        <v>112</v>
      </c>
      <c r="B128" s="378" t="s">
        <v>149</v>
      </c>
      <c r="C128" s="561" t="s">
        <v>916</v>
      </c>
      <c r="D128" s="555" t="s">
        <v>919</v>
      </c>
      <c r="E128" s="555" t="s">
        <v>77</v>
      </c>
      <c r="F128" s="354">
        <v>20</v>
      </c>
      <c r="G128" s="556"/>
      <c r="H128" s="145"/>
      <c r="I128" s="148"/>
      <c r="J128" s="148"/>
      <c r="K128" s="148"/>
      <c r="L128" s="145"/>
      <c r="M128" s="145"/>
      <c r="N128" s="145"/>
      <c r="O128" s="145"/>
      <c r="P128" s="145"/>
      <c r="Q128" s="145"/>
      <c r="W128" s="1"/>
    </row>
    <row r="129" spans="1:23" s="68" customFormat="1">
      <c r="A129" s="348">
        <f t="shared" si="2"/>
        <v>113</v>
      </c>
      <c r="B129" s="378" t="s">
        <v>149</v>
      </c>
      <c r="C129" s="561" t="s">
        <v>916</v>
      </c>
      <c r="D129" s="555" t="s">
        <v>920</v>
      </c>
      <c r="E129" s="555" t="s">
        <v>77</v>
      </c>
      <c r="F129" s="379">
        <v>20</v>
      </c>
      <c r="G129" s="557"/>
      <c r="H129" s="145"/>
      <c r="I129" s="148"/>
      <c r="J129" s="148"/>
      <c r="K129" s="148"/>
      <c r="L129" s="145"/>
      <c r="M129" s="145"/>
      <c r="N129" s="145"/>
      <c r="O129" s="145"/>
      <c r="P129" s="145"/>
      <c r="Q129" s="145"/>
      <c r="W129" s="1"/>
    </row>
    <row r="130" spans="1:23" s="68" customFormat="1">
      <c r="A130" s="348">
        <f t="shared" si="2"/>
        <v>114</v>
      </c>
      <c r="B130" s="378" t="s">
        <v>149</v>
      </c>
      <c r="C130" s="561" t="s">
        <v>916</v>
      </c>
      <c r="D130" s="555" t="s">
        <v>921</v>
      </c>
      <c r="E130" s="555" t="s">
        <v>77</v>
      </c>
      <c r="F130" s="379">
        <v>40</v>
      </c>
      <c r="G130" s="557"/>
      <c r="H130" s="145"/>
      <c r="I130" s="148"/>
      <c r="J130" s="148"/>
      <c r="K130" s="148"/>
      <c r="L130" s="145"/>
      <c r="M130" s="145"/>
      <c r="N130" s="145"/>
      <c r="O130" s="145"/>
      <c r="P130" s="145"/>
      <c r="Q130" s="145"/>
      <c r="W130" s="1"/>
    </row>
    <row r="131" spans="1:23" s="68" customFormat="1" ht="24">
      <c r="A131" s="348">
        <f t="shared" si="2"/>
        <v>115</v>
      </c>
      <c r="B131" s="378" t="s">
        <v>149</v>
      </c>
      <c r="C131" s="377" t="s">
        <v>926</v>
      </c>
      <c r="D131" s="555" t="s">
        <v>924</v>
      </c>
      <c r="E131" s="434" t="s">
        <v>77</v>
      </c>
      <c r="F131" s="354">
        <v>20</v>
      </c>
      <c r="G131" s="556"/>
      <c r="H131" s="145"/>
      <c r="I131" s="148"/>
      <c r="J131" s="148"/>
      <c r="K131" s="148"/>
      <c r="L131" s="145"/>
      <c r="M131" s="145"/>
      <c r="N131" s="145"/>
      <c r="O131" s="145"/>
      <c r="P131" s="145"/>
      <c r="Q131" s="145"/>
      <c r="W131" s="1"/>
    </row>
    <row r="132" spans="1:23" s="68" customFormat="1" ht="24">
      <c r="A132" s="348">
        <f t="shared" si="2"/>
        <v>116</v>
      </c>
      <c r="B132" s="378" t="s">
        <v>149</v>
      </c>
      <c r="C132" s="377" t="s">
        <v>927</v>
      </c>
      <c r="D132" s="555" t="s">
        <v>924</v>
      </c>
      <c r="E132" s="434" t="s">
        <v>77</v>
      </c>
      <c r="F132" s="379">
        <v>20</v>
      </c>
      <c r="G132" s="557"/>
      <c r="H132" s="145"/>
      <c r="I132" s="148"/>
      <c r="J132" s="148"/>
      <c r="K132" s="148"/>
      <c r="L132" s="145"/>
      <c r="M132" s="145"/>
      <c r="N132" s="145"/>
      <c r="O132" s="145"/>
      <c r="P132" s="145"/>
      <c r="Q132" s="145"/>
      <c r="W132" s="1"/>
    </row>
    <row r="133" spans="1:23" s="68" customFormat="1" ht="24">
      <c r="A133" s="348">
        <f t="shared" si="2"/>
        <v>117</v>
      </c>
      <c r="B133" s="378" t="s">
        <v>149</v>
      </c>
      <c r="C133" s="377" t="s">
        <v>928</v>
      </c>
      <c r="D133" s="555" t="s">
        <v>924</v>
      </c>
      <c r="E133" s="434" t="s">
        <v>77</v>
      </c>
      <c r="F133" s="379">
        <v>40</v>
      </c>
      <c r="G133" s="557"/>
      <c r="H133" s="145"/>
      <c r="I133" s="148"/>
      <c r="J133" s="148"/>
      <c r="K133" s="148"/>
      <c r="L133" s="145"/>
      <c r="M133" s="145"/>
      <c r="N133" s="145"/>
      <c r="O133" s="145"/>
      <c r="P133" s="145"/>
      <c r="Q133" s="145"/>
      <c r="W133" s="1"/>
    </row>
    <row r="134" spans="1:23" s="68" customFormat="1">
      <c r="A134" s="348">
        <f t="shared" si="2"/>
        <v>118</v>
      </c>
      <c r="B134" s="378" t="s">
        <v>149</v>
      </c>
      <c r="C134" s="377" t="s">
        <v>962</v>
      </c>
      <c r="D134" s="555"/>
      <c r="E134" s="434" t="s">
        <v>1781</v>
      </c>
      <c r="F134" s="379">
        <v>15</v>
      </c>
      <c r="G134" s="557"/>
      <c r="H134" s="145"/>
      <c r="I134" s="148"/>
      <c r="J134" s="148"/>
      <c r="K134" s="148"/>
      <c r="L134" s="145"/>
      <c r="M134" s="145"/>
      <c r="N134" s="145"/>
      <c r="O134" s="145"/>
      <c r="P134" s="145"/>
      <c r="Q134" s="145"/>
      <c r="W134" s="1"/>
    </row>
    <row r="135" spans="1:23" s="68" customFormat="1">
      <c r="A135" s="348">
        <f t="shared" si="2"/>
        <v>119</v>
      </c>
      <c r="B135" s="378" t="s">
        <v>149</v>
      </c>
      <c r="C135" s="542" t="s">
        <v>970</v>
      </c>
      <c r="D135" s="378" t="s">
        <v>971</v>
      </c>
      <c r="E135" s="555" t="s">
        <v>77</v>
      </c>
      <c r="F135" s="582">
        <v>1050</v>
      </c>
      <c r="G135" s="566"/>
      <c r="H135" s="145"/>
      <c r="I135" s="148"/>
      <c r="J135" s="148"/>
      <c r="K135" s="148"/>
      <c r="L135" s="145"/>
      <c r="M135" s="145"/>
      <c r="N135" s="145"/>
      <c r="O135" s="145"/>
      <c r="P135" s="145"/>
      <c r="Q135" s="145"/>
      <c r="W135" s="1"/>
    </row>
    <row r="136" spans="1:23" s="68" customFormat="1">
      <c r="A136" s="348">
        <f t="shared" si="2"/>
        <v>120</v>
      </c>
      <c r="B136" s="378" t="s">
        <v>149</v>
      </c>
      <c r="C136" s="562" t="s">
        <v>934</v>
      </c>
      <c r="D136" s="559"/>
      <c r="E136" s="559" t="s">
        <v>90</v>
      </c>
      <c r="F136" s="379">
        <v>1</v>
      </c>
      <c r="G136" s="559"/>
      <c r="H136" s="145"/>
      <c r="I136" s="148"/>
      <c r="J136" s="148"/>
      <c r="K136" s="148"/>
      <c r="L136" s="145"/>
      <c r="M136" s="145"/>
      <c r="N136" s="145"/>
      <c r="O136" s="145"/>
      <c r="P136" s="145"/>
      <c r="Q136" s="145"/>
      <c r="W136" s="1"/>
    </row>
    <row r="137" spans="1:23" s="68" customFormat="1">
      <c r="A137" s="348">
        <f t="shared" si="2"/>
        <v>121</v>
      </c>
      <c r="B137" s="378" t="s">
        <v>149</v>
      </c>
      <c r="C137" s="558" t="s">
        <v>935</v>
      </c>
      <c r="D137" s="559"/>
      <c r="E137" s="559" t="s">
        <v>90</v>
      </c>
      <c r="F137" s="379">
        <v>1</v>
      </c>
      <c r="G137" s="559"/>
      <c r="H137" s="145"/>
      <c r="I137" s="148"/>
      <c r="J137" s="148"/>
      <c r="K137" s="148"/>
      <c r="L137" s="145"/>
      <c r="M137" s="145"/>
      <c r="N137" s="145"/>
      <c r="O137" s="145"/>
      <c r="P137" s="145"/>
      <c r="Q137" s="145"/>
      <c r="W137" s="1"/>
    </row>
    <row r="138" spans="1:23" s="68" customFormat="1">
      <c r="A138" s="348">
        <f t="shared" si="2"/>
        <v>122</v>
      </c>
      <c r="B138" s="378" t="s">
        <v>149</v>
      </c>
      <c r="C138" s="558" t="s">
        <v>936</v>
      </c>
      <c r="D138" s="559"/>
      <c r="E138" s="559" t="s">
        <v>90</v>
      </c>
      <c r="F138" s="379">
        <v>1</v>
      </c>
      <c r="G138" s="559"/>
      <c r="H138" s="145"/>
      <c r="I138" s="148"/>
      <c r="J138" s="148"/>
      <c r="K138" s="148"/>
      <c r="L138" s="145"/>
      <c r="M138" s="145"/>
      <c r="N138" s="145"/>
      <c r="O138" s="145"/>
      <c r="P138" s="145"/>
      <c r="Q138" s="145"/>
      <c r="W138" s="1"/>
    </row>
    <row r="139" spans="1:23" s="68" customFormat="1">
      <c r="A139" s="348">
        <f t="shared" si="2"/>
        <v>123</v>
      </c>
      <c r="B139" s="378" t="s">
        <v>149</v>
      </c>
      <c r="C139" s="558" t="s">
        <v>972</v>
      </c>
      <c r="D139" s="559"/>
      <c r="E139" s="559" t="s">
        <v>90</v>
      </c>
      <c r="F139" s="379">
        <v>1</v>
      </c>
      <c r="G139" s="559"/>
      <c r="H139" s="145"/>
      <c r="I139" s="148"/>
      <c r="J139" s="148"/>
      <c r="K139" s="148"/>
      <c r="L139" s="145"/>
      <c r="M139" s="145"/>
      <c r="N139" s="145"/>
      <c r="O139" s="145"/>
      <c r="P139" s="145"/>
      <c r="Q139" s="145"/>
      <c r="W139" s="1"/>
    </row>
    <row r="140" spans="1:23" s="68" customFormat="1">
      <c r="A140" s="348">
        <f t="shared" si="2"/>
        <v>124</v>
      </c>
      <c r="B140" s="378" t="s">
        <v>149</v>
      </c>
      <c r="C140" s="558" t="s">
        <v>937</v>
      </c>
      <c r="D140" s="559"/>
      <c r="E140" s="559" t="s">
        <v>90</v>
      </c>
      <c r="F140" s="379">
        <v>1</v>
      </c>
      <c r="G140" s="559"/>
      <c r="H140" s="145"/>
      <c r="I140" s="148"/>
      <c r="J140" s="148"/>
      <c r="K140" s="148"/>
      <c r="L140" s="145"/>
      <c r="M140" s="145"/>
      <c r="N140" s="145"/>
      <c r="O140" s="145"/>
      <c r="P140" s="145"/>
      <c r="Q140" s="145"/>
      <c r="W140" s="1"/>
    </row>
    <row r="141" spans="1:23" s="68" customFormat="1">
      <c r="A141" s="348">
        <f t="shared" si="2"/>
        <v>125</v>
      </c>
      <c r="B141" s="378" t="s">
        <v>149</v>
      </c>
      <c r="C141" s="562" t="s">
        <v>939</v>
      </c>
      <c r="D141" s="559"/>
      <c r="E141" s="559" t="s">
        <v>90</v>
      </c>
      <c r="F141" s="379">
        <v>1</v>
      </c>
      <c r="G141" s="559"/>
      <c r="H141" s="145"/>
      <c r="I141" s="148"/>
      <c r="J141" s="148"/>
      <c r="K141" s="148"/>
      <c r="L141" s="145"/>
      <c r="M141" s="145"/>
      <c r="N141" s="145"/>
      <c r="O141" s="145"/>
      <c r="P141" s="145"/>
      <c r="Q141" s="145"/>
      <c r="W141" s="1"/>
    </row>
    <row r="142" spans="1:23" s="68" customFormat="1">
      <c r="A142" s="380">
        <f t="shared" si="2"/>
        <v>126</v>
      </c>
      <c r="B142" s="382" t="s">
        <v>149</v>
      </c>
      <c r="C142" s="563" t="s">
        <v>111</v>
      </c>
      <c r="D142" s="564"/>
      <c r="E142" s="564" t="s">
        <v>90</v>
      </c>
      <c r="F142" s="383">
        <v>1</v>
      </c>
      <c r="G142" s="564"/>
      <c r="H142" s="150"/>
      <c r="I142" s="151"/>
      <c r="J142" s="151"/>
      <c r="K142" s="151"/>
      <c r="L142" s="150"/>
      <c r="M142" s="150"/>
      <c r="N142" s="150"/>
      <c r="O142" s="150"/>
      <c r="P142" s="150"/>
      <c r="Q142" s="150"/>
      <c r="W142" s="1"/>
    </row>
    <row r="143" spans="1:23" s="68" customFormat="1">
      <c r="A143" s="370"/>
      <c r="B143" s="500"/>
      <c r="C143" s="371" t="s">
        <v>973</v>
      </c>
      <c r="D143" s="547"/>
      <c r="E143" s="547"/>
      <c r="F143" s="580"/>
      <c r="G143" s="547"/>
      <c r="H143" s="135"/>
      <c r="I143" s="152"/>
      <c r="J143" s="152"/>
      <c r="K143" s="152"/>
      <c r="L143" s="135"/>
      <c r="M143" s="135"/>
      <c r="N143" s="135"/>
      <c r="O143" s="135"/>
      <c r="P143" s="135"/>
      <c r="Q143" s="135"/>
      <c r="W143" s="1"/>
    </row>
    <row r="144" spans="1:23" s="68" customFormat="1">
      <c r="A144" s="385">
        <f>A142+1</f>
        <v>127</v>
      </c>
      <c r="B144" s="387" t="s">
        <v>149</v>
      </c>
      <c r="C144" s="567" t="s">
        <v>974</v>
      </c>
      <c r="D144" s="552" t="s">
        <v>975</v>
      </c>
      <c r="E144" s="552" t="s">
        <v>77</v>
      </c>
      <c r="F144" s="388">
        <v>80</v>
      </c>
      <c r="G144" s="568"/>
      <c r="H144" s="146"/>
      <c r="I144" s="149"/>
      <c r="J144" s="149"/>
      <c r="K144" s="149"/>
      <c r="L144" s="146"/>
      <c r="M144" s="146"/>
      <c r="N144" s="146"/>
      <c r="O144" s="146"/>
      <c r="P144" s="146"/>
      <c r="Q144" s="146"/>
      <c r="W144" s="1"/>
    </row>
    <row r="145" spans="1:23" s="68" customFormat="1" ht="24">
      <c r="A145" s="348">
        <f t="shared" si="2"/>
        <v>128</v>
      </c>
      <c r="B145" s="378" t="s">
        <v>149</v>
      </c>
      <c r="C145" s="377" t="s">
        <v>976</v>
      </c>
      <c r="D145" s="555" t="s">
        <v>977</v>
      </c>
      <c r="E145" s="434" t="s">
        <v>77</v>
      </c>
      <c r="F145" s="379">
        <v>80</v>
      </c>
      <c r="G145" s="557"/>
      <c r="H145" s="145"/>
      <c r="I145" s="148"/>
      <c r="J145" s="148"/>
      <c r="K145" s="148"/>
      <c r="L145" s="145"/>
      <c r="M145" s="145"/>
      <c r="N145" s="145"/>
      <c r="O145" s="145"/>
      <c r="P145" s="145"/>
      <c r="Q145" s="145"/>
      <c r="W145" s="1"/>
    </row>
    <row r="146" spans="1:23" s="68" customFormat="1">
      <c r="A146" s="348">
        <f t="shared" si="2"/>
        <v>129</v>
      </c>
      <c r="B146" s="378" t="s">
        <v>149</v>
      </c>
      <c r="C146" s="377" t="s">
        <v>962</v>
      </c>
      <c r="D146" s="555"/>
      <c r="E146" s="434" t="s">
        <v>1781</v>
      </c>
      <c r="F146" s="379">
        <v>15</v>
      </c>
      <c r="G146" s="557"/>
      <c r="H146" s="145"/>
      <c r="I146" s="148"/>
      <c r="J146" s="148"/>
      <c r="K146" s="148"/>
      <c r="L146" s="145"/>
      <c r="M146" s="145"/>
      <c r="N146" s="145"/>
      <c r="O146" s="145"/>
      <c r="P146" s="145"/>
      <c r="Q146" s="145"/>
      <c r="W146" s="1"/>
    </row>
    <row r="147" spans="1:23" s="68" customFormat="1">
      <c r="A147" s="348">
        <f t="shared" si="2"/>
        <v>130</v>
      </c>
      <c r="B147" s="378" t="s">
        <v>149</v>
      </c>
      <c r="C147" s="562" t="s">
        <v>934</v>
      </c>
      <c r="D147" s="559"/>
      <c r="E147" s="559" t="s">
        <v>90</v>
      </c>
      <c r="F147" s="379">
        <v>1</v>
      </c>
      <c r="G147" s="559"/>
      <c r="H147" s="145"/>
      <c r="I147" s="148"/>
      <c r="J147" s="148"/>
      <c r="K147" s="148"/>
      <c r="L147" s="145"/>
      <c r="M147" s="145"/>
      <c r="N147" s="145"/>
      <c r="O147" s="145"/>
      <c r="P147" s="145"/>
      <c r="Q147" s="145"/>
      <c r="W147" s="1"/>
    </row>
    <row r="148" spans="1:23" s="68" customFormat="1">
      <c r="A148" s="348">
        <f t="shared" si="2"/>
        <v>131</v>
      </c>
      <c r="B148" s="378" t="s">
        <v>149</v>
      </c>
      <c r="C148" s="558" t="s">
        <v>935</v>
      </c>
      <c r="D148" s="559"/>
      <c r="E148" s="559" t="s">
        <v>90</v>
      </c>
      <c r="F148" s="379">
        <v>1</v>
      </c>
      <c r="G148" s="559"/>
      <c r="H148" s="145"/>
      <c r="I148" s="148"/>
      <c r="J148" s="148"/>
      <c r="K148" s="148"/>
      <c r="L148" s="145"/>
      <c r="M148" s="145"/>
      <c r="N148" s="145"/>
      <c r="O148" s="145"/>
      <c r="P148" s="145"/>
      <c r="Q148" s="145"/>
      <c r="W148" s="1"/>
    </row>
    <row r="149" spans="1:23" s="68" customFormat="1">
      <c r="A149" s="348">
        <f t="shared" si="2"/>
        <v>132</v>
      </c>
      <c r="B149" s="378" t="s">
        <v>149</v>
      </c>
      <c r="C149" s="558" t="s">
        <v>936</v>
      </c>
      <c r="D149" s="559"/>
      <c r="E149" s="559" t="s">
        <v>90</v>
      </c>
      <c r="F149" s="379">
        <v>1</v>
      </c>
      <c r="G149" s="559"/>
      <c r="H149" s="145"/>
      <c r="I149" s="148"/>
      <c r="J149" s="148"/>
      <c r="K149" s="148"/>
      <c r="L149" s="145"/>
      <c r="M149" s="145"/>
      <c r="N149" s="145"/>
      <c r="O149" s="145"/>
      <c r="P149" s="145"/>
      <c r="Q149" s="145"/>
      <c r="W149" s="1"/>
    </row>
    <row r="150" spans="1:23" s="68" customFormat="1">
      <c r="A150" s="348">
        <f t="shared" si="2"/>
        <v>133</v>
      </c>
      <c r="B150" s="378" t="s">
        <v>149</v>
      </c>
      <c r="C150" s="558" t="s">
        <v>972</v>
      </c>
      <c r="D150" s="559"/>
      <c r="E150" s="559" t="s">
        <v>90</v>
      </c>
      <c r="F150" s="379">
        <v>1</v>
      </c>
      <c r="G150" s="559"/>
      <c r="H150" s="145"/>
      <c r="I150" s="148"/>
      <c r="J150" s="148"/>
      <c r="K150" s="148"/>
      <c r="L150" s="145"/>
      <c r="M150" s="145"/>
      <c r="N150" s="145"/>
      <c r="O150" s="145"/>
      <c r="P150" s="145"/>
      <c r="Q150" s="145"/>
      <c r="W150" s="1"/>
    </row>
    <row r="151" spans="1:23" s="68" customFormat="1">
      <c r="A151" s="348">
        <f t="shared" si="2"/>
        <v>134</v>
      </c>
      <c r="B151" s="378" t="s">
        <v>149</v>
      </c>
      <c r="C151" s="558" t="s">
        <v>937</v>
      </c>
      <c r="D151" s="559"/>
      <c r="E151" s="559" t="s">
        <v>90</v>
      </c>
      <c r="F151" s="379">
        <v>1</v>
      </c>
      <c r="G151" s="559"/>
      <c r="H151" s="145"/>
      <c r="I151" s="148"/>
      <c r="J151" s="148"/>
      <c r="K151" s="148"/>
      <c r="L151" s="145"/>
      <c r="M151" s="145"/>
      <c r="N151" s="145"/>
      <c r="O151" s="145"/>
      <c r="P151" s="145"/>
      <c r="Q151" s="145"/>
      <c r="W151" s="1"/>
    </row>
    <row r="152" spans="1:23" s="68" customFormat="1">
      <c r="A152" s="348">
        <f t="shared" si="2"/>
        <v>135</v>
      </c>
      <c r="B152" s="378" t="s">
        <v>149</v>
      </c>
      <c r="C152" s="562" t="s">
        <v>939</v>
      </c>
      <c r="D152" s="559"/>
      <c r="E152" s="559" t="s">
        <v>90</v>
      </c>
      <c r="F152" s="379">
        <v>1</v>
      </c>
      <c r="G152" s="559"/>
      <c r="H152" s="145"/>
      <c r="I152" s="148"/>
      <c r="J152" s="148"/>
      <c r="K152" s="148"/>
      <c r="L152" s="145"/>
      <c r="M152" s="145"/>
      <c r="N152" s="145"/>
      <c r="O152" s="145"/>
      <c r="P152" s="145"/>
      <c r="Q152" s="145"/>
      <c r="W152" s="1"/>
    </row>
    <row r="153" spans="1:23" s="68" customFormat="1">
      <c r="A153" s="380">
        <f t="shared" si="2"/>
        <v>136</v>
      </c>
      <c r="B153" s="382" t="s">
        <v>149</v>
      </c>
      <c r="C153" s="563" t="s">
        <v>111</v>
      </c>
      <c r="D153" s="564"/>
      <c r="E153" s="564" t="s">
        <v>90</v>
      </c>
      <c r="F153" s="383">
        <v>1</v>
      </c>
      <c r="G153" s="564"/>
      <c r="H153" s="150"/>
      <c r="I153" s="151"/>
      <c r="J153" s="151"/>
      <c r="K153" s="151"/>
      <c r="L153" s="150"/>
      <c r="M153" s="150"/>
      <c r="N153" s="150"/>
      <c r="O153" s="150"/>
      <c r="P153" s="150"/>
      <c r="Q153" s="150"/>
      <c r="W153" s="1"/>
    </row>
    <row r="154" spans="1:23" s="68" customFormat="1">
      <c r="A154" s="370"/>
      <c r="B154" s="500"/>
      <c r="C154" s="371" t="s">
        <v>978</v>
      </c>
      <c r="D154" s="547"/>
      <c r="E154" s="547"/>
      <c r="F154" s="580"/>
      <c r="G154" s="547"/>
      <c r="H154" s="135"/>
      <c r="I154" s="152"/>
      <c r="J154" s="152"/>
      <c r="K154" s="152"/>
      <c r="L154" s="135"/>
      <c r="M154" s="135"/>
      <c r="N154" s="135"/>
      <c r="O154" s="135"/>
      <c r="P154" s="135"/>
      <c r="Q154" s="135"/>
      <c r="W154" s="1"/>
    </row>
    <row r="155" spans="1:23" s="68" customFormat="1" ht="24">
      <c r="A155" s="385">
        <f>A153+1</f>
        <v>137</v>
      </c>
      <c r="B155" s="387" t="s">
        <v>149</v>
      </c>
      <c r="C155" s="386" t="s">
        <v>979</v>
      </c>
      <c r="D155" s="387" t="s">
        <v>980</v>
      </c>
      <c r="E155" s="486" t="s">
        <v>90</v>
      </c>
      <c r="F155" s="433">
        <v>1</v>
      </c>
      <c r="G155" s="387"/>
      <c r="H155" s="146"/>
      <c r="I155" s="149"/>
      <c r="J155" s="149"/>
      <c r="K155" s="149"/>
      <c r="L155" s="146"/>
      <c r="M155" s="146"/>
      <c r="N155" s="146"/>
      <c r="O155" s="146"/>
      <c r="P155" s="146"/>
      <c r="Q155" s="146"/>
      <c r="W155" s="1"/>
    </row>
    <row r="156" spans="1:23" s="68" customFormat="1">
      <c r="A156" s="348">
        <f>A155+1</f>
        <v>138</v>
      </c>
      <c r="B156" s="378" t="s">
        <v>149</v>
      </c>
      <c r="C156" s="377" t="s">
        <v>981</v>
      </c>
      <c r="D156" s="434"/>
      <c r="E156" s="464" t="s">
        <v>90</v>
      </c>
      <c r="F156" s="379">
        <v>1</v>
      </c>
      <c r="G156" s="557"/>
      <c r="H156" s="145"/>
      <c r="I156" s="148"/>
      <c r="J156" s="148"/>
      <c r="K156" s="148"/>
      <c r="L156" s="145"/>
      <c r="M156" s="145"/>
      <c r="N156" s="145"/>
      <c r="O156" s="145"/>
      <c r="P156" s="145"/>
      <c r="Q156" s="145"/>
      <c r="W156" s="1"/>
    </row>
    <row r="157" spans="1:23" s="68" customFormat="1">
      <c r="A157" s="348">
        <f>A156+1</f>
        <v>139</v>
      </c>
      <c r="B157" s="378" t="s">
        <v>149</v>
      </c>
      <c r="C157" s="569" t="s">
        <v>982</v>
      </c>
      <c r="D157" s="378"/>
      <c r="E157" s="464" t="s">
        <v>90</v>
      </c>
      <c r="F157" s="354">
        <v>1</v>
      </c>
      <c r="G157" s="378"/>
      <c r="H157" s="145"/>
      <c r="I157" s="148"/>
      <c r="J157" s="148"/>
      <c r="K157" s="148"/>
      <c r="L157" s="145"/>
      <c r="M157" s="145"/>
      <c r="N157" s="145"/>
      <c r="O157" s="145"/>
      <c r="P157" s="145"/>
      <c r="Q157" s="145"/>
      <c r="W157" s="1"/>
    </row>
    <row r="158" spans="1:23" s="68" customFormat="1" ht="36">
      <c r="A158" s="348">
        <f>A157+1</f>
        <v>140</v>
      </c>
      <c r="B158" s="378" t="s">
        <v>149</v>
      </c>
      <c r="C158" s="377" t="s">
        <v>983</v>
      </c>
      <c r="D158" s="378" t="s">
        <v>984</v>
      </c>
      <c r="E158" s="464" t="s">
        <v>90</v>
      </c>
      <c r="F158" s="354">
        <v>1</v>
      </c>
      <c r="G158" s="378"/>
      <c r="H158" s="145"/>
      <c r="I158" s="148"/>
      <c r="J158" s="148"/>
      <c r="K158" s="148"/>
      <c r="L158" s="145"/>
      <c r="M158" s="145"/>
      <c r="N158" s="145"/>
      <c r="O158" s="145"/>
      <c r="P158" s="145"/>
      <c r="Q158" s="145"/>
      <c r="W158" s="1"/>
    </row>
    <row r="159" spans="1:23" s="68" customFormat="1">
      <c r="A159" s="348">
        <f>A158+1</f>
        <v>141</v>
      </c>
      <c r="B159" s="378" t="s">
        <v>149</v>
      </c>
      <c r="C159" s="377" t="s">
        <v>981</v>
      </c>
      <c r="D159" s="434"/>
      <c r="E159" s="464" t="s">
        <v>90</v>
      </c>
      <c r="F159" s="379">
        <v>1</v>
      </c>
      <c r="G159" s="557"/>
      <c r="H159" s="145"/>
      <c r="I159" s="148"/>
      <c r="J159" s="148"/>
      <c r="K159" s="148"/>
      <c r="L159" s="145"/>
      <c r="M159" s="145"/>
      <c r="N159" s="145"/>
      <c r="O159" s="145"/>
      <c r="P159" s="145"/>
      <c r="Q159" s="145"/>
      <c r="W159" s="1"/>
    </row>
    <row r="160" spans="1:23" s="68" customFormat="1">
      <c r="A160" s="380">
        <f>A159+1</f>
        <v>142</v>
      </c>
      <c r="B160" s="382" t="s">
        <v>149</v>
      </c>
      <c r="C160" s="570" t="s">
        <v>982</v>
      </c>
      <c r="D160" s="382"/>
      <c r="E160" s="492" t="s">
        <v>90</v>
      </c>
      <c r="F160" s="441">
        <v>1</v>
      </c>
      <c r="G160" s="382"/>
      <c r="H160" s="150"/>
      <c r="I160" s="151"/>
      <c r="J160" s="151"/>
      <c r="K160" s="151"/>
      <c r="L160" s="150"/>
      <c r="M160" s="150"/>
      <c r="N160" s="150"/>
      <c r="O160" s="150"/>
      <c r="P160" s="150"/>
      <c r="Q160" s="150"/>
      <c r="W160" s="1"/>
    </row>
    <row r="161" spans="1:23" s="68" customFormat="1" ht="24">
      <c r="A161" s="370"/>
      <c r="B161" s="500"/>
      <c r="C161" s="371" t="s">
        <v>985</v>
      </c>
      <c r="D161" s="547"/>
      <c r="E161" s="547"/>
      <c r="F161" s="580"/>
      <c r="G161" s="547"/>
      <c r="H161" s="135"/>
      <c r="I161" s="152"/>
      <c r="J161" s="152"/>
      <c r="K161" s="152"/>
      <c r="L161" s="135"/>
      <c r="M161" s="135"/>
      <c r="N161" s="135"/>
      <c r="O161" s="135"/>
      <c r="P161" s="135"/>
      <c r="Q161" s="135"/>
      <c r="W161" s="1"/>
    </row>
    <row r="162" spans="1:23" s="68" customFormat="1">
      <c r="A162" s="370"/>
      <c r="B162" s="500"/>
      <c r="C162" s="371" t="s">
        <v>986</v>
      </c>
      <c r="D162" s="547"/>
      <c r="E162" s="547"/>
      <c r="F162" s="580"/>
      <c r="G162" s="547"/>
      <c r="H162" s="135"/>
      <c r="I162" s="152"/>
      <c r="J162" s="152"/>
      <c r="K162" s="152"/>
      <c r="L162" s="135"/>
      <c r="M162" s="135"/>
      <c r="N162" s="135"/>
      <c r="O162" s="135"/>
      <c r="P162" s="135"/>
      <c r="Q162" s="135"/>
      <c r="W162" s="1"/>
    </row>
    <row r="163" spans="1:23" s="68" customFormat="1" ht="60">
      <c r="A163" s="385">
        <f>A160+1</f>
        <v>143</v>
      </c>
      <c r="B163" s="387" t="s">
        <v>149</v>
      </c>
      <c r="C163" s="551" t="s">
        <v>987</v>
      </c>
      <c r="D163" s="387" t="s">
        <v>988</v>
      </c>
      <c r="E163" s="571" t="s">
        <v>90</v>
      </c>
      <c r="F163" s="433">
        <v>1</v>
      </c>
      <c r="G163" s="572"/>
      <c r="H163" s="146"/>
      <c r="I163" s="149"/>
      <c r="J163" s="149"/>
      <c r="K163" s="149"/>
      <c r="L163" s="146"/>
      <c r="M163" s="146"/>
      <c r="N163" s="146"/>
      <c r="O163" s="146"/>
      <c r="P163" s="146"/>
      <c r="Q163" s="146"/>
      <c r="W163" s="1"/>
    </row>
    <row r="164" spans="1:23" s="68" customFormat="1" ht="36">
      <c r="A164" s="348">
        <f>A163+1</f>
        <v>144</v>
      </c>
      <c r="B164" s="378" t="s">
        <v>149</v>
      </c>
      <c r="C164" s="377" t="s">
        <v>989</v>
      </c>
      <c r="D164" s="378" t="s">
        <v>990</v>
      </c>
      <c r="E164" s="573" t="s">
        <v>93</v>
      </c>
      <c r="F164" s="354">
        <v>1</v>
      </c>
      <c r="G164" s="378"/>
      <c r="H164" s="145"/>
      <c r="I164" s="148"/>
      <c r="J164" s="148"/>
      <c r="K164" s="148"/>
      <c r="L164" s="145"/>
      <c r="M164" s="145"/>
      <c r="N164" s="145"/>
      <c r="O164" s="145"/>
      <c r="P164" s="145"/>
      <c r="Q164" s="145"/>
      <c r="W164" s="1"/>
    </row>
    <row r="165" spans="1:23" s="68" customFormat="1" ht="36">
      <c r="A165" s="348">
        <f t="shared" ref="A165:A206" si="3">A164+1</f>
        <v>145</v>
      </c>
      <c r="B165" s="378" t="s">
        <v>149</v>
      </c>
      <c r="C165" s="377" t="s">
        <v>989</v>
      </c>
      <c r="D165" s="378" t="s">
        <v>991</v>
      </c>
      <c r="E165" s="573" t="s">
        <v>93</v>
      </c>
      <c r="F165" s="354">
        <v>1</v>
      </c>
      <c r="G165" s="378"/>
      <c r="H165" s="145"/>
      <c r="I165" s="148"/>
      <c r="J165" s="148"/>
      <c r="K165" s="148"/>
      <c r="L165" s="145"/>
      <c r="M165" s="145"/>
      <c r="N165" s="145"/>
      <c r="O165" s="145"/>
      <c r="P165" s="145"/>
      <c r="Q165" s="145"/>
      <c r="W165" s="1"/>
    </row>
    <row r="166" spans="1:23" s="68" customFormat="1">
      <c r="A166" s="348">
        <f t="shared" si="3"/>
        <v>146</v>
      </c>
      <c r="B166" s="378" t="s">
        <v>149</v>
      </c>
      <c r="C166" s="377" t="s">
        <v>992</v>
      </c>
      <c r="D166" s="378" t="s">
        <v>993</v>
      </c>
      <c r="E166" s="573" t="s">
        <v>93</v>
      </c>
      <c r="F166" s="354">
        <v>9</v>
      </c>
      <c r="G166" s="378"/>
      <c r="H166" s="145"/>
      <c r="I166" s="148"/>
      <c r="J166" s="148"/>
      <c r="K166" s="148"/>
      <c r="L166" s="145"/>
      <c r="M166" s="145"/>
      <c r="N166" s="145"/>
      <c r="O166" s="145"/>
      <c r="P166" s="145"/>
      <c r="Q166" s="145"/>
      <c r="W166" s="1"/>
    </row>
    <row r="167" spans="1:23" s="68" customFormat="1">
      <c r="A167" s="348">
        <f t="shared" si="3"/>
        <v>147</v>
      </c>
      <c r="B167" s="378" t="s">
        <v>149</v>
      </c>
      <c r="C167" s="377" t="s">
        <v>992</v>
      </c>
      <c r="D167" s="378" t="s">
        <v>994</v>
      </c>
      <c r="E167" s="573" t="s">
        <v>93</v>
      </c>
      <c r="F167" s="354">
        <v>5</v>
      </c>
      <c r="G167" s="378"/>
      <c r="H167" s="145"/>
      <c r="I167" s="148"/>
      <c r="J167" s="148"/>
      <c r="K167" s="148"/>
      <c r="L167" s="145"/>
      <c r="M167" s="145"/>
      <c r="N167" s="145"/>
      <c r="O167" s="145"/>
      <c r="P167" s="145"/>
      <c r="Q167" s="145"/>
      <c r="W167" s="1"/>
    </row>
    <row r="168" spans="1:23" s="68" customFormat="1" ht="24">
      <c r="A168" s="348">
        <f t="shared" si="3"/>
        <v>148</v>
      </c>
      <c r="B168" s="378" t="s">
        <v>149</v>
      </c>
      <c r="C168" s="377" t="s">
        <v>992</v>
      </c>
      <c r="D168" s="378" t="s">
        <v>995</v>
      </c>
      <c r="E168" s="573" t="s">
        <v>93</v>
      </c>
      <c r="F168" s="354">
        <v>1</v>
      </c>
      <c r="G168" s="378"/>
      <c r="H168" s="145"/>
      <c r="I168" s="148"/>
      <c r="J168" s="148"/>
      <c r="K168" s="148"/>
      <c r="L168" s="145"/>
      <c r="M168" s="145"/>
      <c r="N168" s="145"/>
      <c r="O168" s="145"/>
      <c r="P168" s="145"/>
      <c r="Q168" s="145"/>
      <c r="W168" s="1"/>
    </row>
    <row r="169" spans="1:23" s="68" customFormat="1" ht="24">
      <c r="A169" s="348">
        <f t="shared" si="3"/>
        <v>149</v>
      </c>
      <c r="B169" s="378" t="s">
        <v>149</v>
      </c>
      <c r="C169" s="377" t="s">
        <v>996</v>
      </c>
      <c r="D169" s="378" t="s">
        <v>997</v>
      </c>
      <c r="E169" s="573" t="s">
        <v>93</v>
      </c>
      <c r="F169" s="354">
        <v>1</v>
      </c>
      <c r="G169" s="378"/>
      <c r="H169" s="145"/>
      <c r="I169" s="148"/>
      <c r="J169" s="148"/>
      <c r="K169" s="148"/>
      <c r="L169" s="145"/>
      <c r="M169" s="145"/>
      <c r="N169" s="145"/>
      <c r="O169" s="145"/>
      <c r="P169" s="145"/>
      <c r="Q169" s="145"/>
      <c r="W169" s="1"/>
    </row>
    <row r="170" spans="1:23" s="68" customFormat="1" ht="24">
      <c r="A170" s="348">
        <f t="shared" si="3"/>
        <v>150</v>
      </c>
      <c r="B170" s="378" t="s">
        <v>149</v>
      </c>
      <c r="C170" s="377" t="s">
        <v>996</v>
      </c>
      <c r="D170" s="378" t="s">
        <v>998</v>
      </c>
      <c r="E170" s="573" t="s">
        <v>93</v>
      </c>
      <c r="F170" s="354">
        <v>1</v>
      </c>
      <c r="G170" s="378"/>
      <c r="H170" s="145"/>
      <c r="I170" s="148"/>
      <c r="J170" s="148"/>
      <c r="K170" s="148"/>
      <c r="L170" s="145"/>
      <c r="M170" s="145"/>
      <c r="N170" s="145"/>
      <c r="O170" s="145"/>
      <c r="P170" s="145"/>
      <c r="Q170" s="145"/>
      <c r="W170" s="1"/>
    </row>
    <row r="171" spans="1:23" s="68" customFormat="1" ht="24">
      <c r="A171" s="348">
        <f t="shared" si="3"/>
        <v>151</v>
      </c>
      <c r="B171" s="378" t="s">
        <v>149</v>
      </c>
      <c r="C171" s="561" t="s">
        <v>999</v>
      </c>
      <c r="D171" s="378" t="s">
        <v>1000</v>
      </c>
      <c r="E171" s="573" t="s">
        <v>93</v>
      </c>
      <c r="F171" s="354">
        <v>1</v>
      </c>
      <c r="G171" s="378"/>
      <c r="H171" s="145"/>
      <c r="I171" s="148"/>
      <c r="J171" s="148"/>
      <c r="K171" s="148"/>
      <c r="L171" s="145"/>
      <c r="M171" s="145"/>
      <c r="N171" s="145"/>
      <c r="O171" s="145"/>
      <c r="P171" s="145"/>
      <c r="Q171" s="145"/>
      <c r="W171" s="1"/>
    </row>
    <row r="172" spans="1:23" s="68" customFormat="1" ht="24">
      <c r="A172" s="348">
        <f t="shared" si="3"/>
        <v>152</v>
      </c>
      <c r="B172" s="378" t="s">
        <v>149</v>
      </c>
      <c r="C172" s="561" t="s">
        <v>999</v>
      </c>
      <c r="D172" s="378" t="s">
        <v>1001</v>
      </c>
      <c r="E172" s="573" t="s">
        <v>93</v>
      </c>
      <c r="F172" s="354">
        <v>1</v>
      </c>
      <c r="G172" s="378"/>
      <c r="H172" s="145"/>
      <c r="I172" s="148"/>
      <c r="J172" s="148"/>
      <c r="K172" s="148"/>
      <c r="L172" s="145"/>
      <c r="M172" s="145"/>
      <c r="N172" s="145"/>
      <c r="O172" s="145"/>
      <c r="P172" s="145"/>
      <c r="Q172" s="145"/>
      <c r="W172" s="1"/>
    </row>
    <row r="173" spans="1:23" s="68" customFormat="1" ht="24">
      <c r="A173" s="348">
        <f t="shared" si="3"/>
        <v>153</v>
      </c>
      <c r="B173" s="378" t="s">
        <v>149</v>
      </c>
      <c r="C173" s="561" t="s">
        <v>1002</v>
      </c>
      <c r="D173" s="378" t="s">
        <v>1003</v>
      </c>
      <c r="E173" s="573" t="s">
        <v>93</v>
      </c>
      <c r="F173" s="354">
        <v>1</v>
      </c>
      <c r="G173" s="378"/>
      <c r="H173" s="145"/>
      <c r="I173" s="148"/>
      <c r="J173" s="148"/>
      <c r="K173" s="148"/>
      <c r="L173" s="145"/>
      <c r="M173" s="145"/>
      <c r="N173" s="145"/>
      <c r="O173" s="145"/>
      <c r="P173" s="145"/>
      <c r="Q173" s="145"/>
      <c r="W173" s="1"/>
    </row>
    <row r="174" spans="1:23" s="68" customFormat="1">
      <c r="A174" s="348">
        <f t="shared" si="3"/>
        <v>154</v>
      </c>
      <c r="B174" s="378" t="s">
        <v>149</v>
      </c>
      <c r="C174" s="561" t="s">
        <v>1004</v>
      </c>
      <c r="D174" s="378" t="s">
        <v>1005</v>
      </c>
      <c r="E174" s="573" t="s">
        <v>93</v>
      </c>
      <c r="F174" s="354">
        <v>1</v>
      </c>
      <c r="G174" s="378"/>
      <c r="H174" s="145"/>
      <c r="I174" s="148"/>
      <c r="J174" s="148"/>
      <c r="K174" s="148"/>
      <c r="L174" s="145"/>
      <c r="M174" s="145"/>
      <c r="N174" s="145"/>
      <c r="O174" s="145"/>
      <c r="P174" s="145"/>
      <c r="Q174" s="145"/>
      <c r="W174" s="1"/>
    </row>
    <row r="175" spans="1:23" s="68" customFormat="1">
      <c r="A175" s="348">
        <f t="shared" si="3"/>
        <v>155</v>
      </c>
      <c r="B175" s="378" t="s">
        <v>149</v>
      </c>
      <c r="C175" s="561" t="s">
        <v>1006</v>
      </c>
      <c r="D175" s="378" t="s">
        <v>1007</v>
      </c>
      <c r="E175" s="573" t="s">
        <v>93</v>
      </c>
      <c r="F175" s="354">
        <v>32</v>
      </c>
      <c r="G175" s="378"/>
      <c r="H175" s="145"/>
      <c r="I175" s="148"/>
      <c r="J175" s="148"/>
      <c r="K175" s="148"/>
      <c r="L175" s="145"/>
      <c r="M175" s="145"/>
      <c r="N175" s="145"/>
      <c r="O175" s="145"/>
      <c r="P175" s="145"/>
      <c r="Q175" s="145"/>
      <c r="W175" s="1"/>
    </row>
    <row r="176" spans="1:23" s="68" customFormat="1" ht="24">
      <c r="A176" s="348">
        <f t="shared" si="3"/>
        <v>156</v>
      </c>
      <c r="B176" s="378" t="s">
        <v>149</v>
      </c>
      <c r="C176" s="561" t="s">
        <v>1008</v>
      </c>
      <c r="D176" s="378" t="s">
        <v>1009</v>
      </c>
      <c r="E176" s="573" t="s">
        <v>93</v>
      </c>
      <c r="F176" s="354">
        <v>7</v>
      </c>
      <c r="G176" s="378"/>
      <c r="H176" s="145"/>
      <c r="I176" s="148"/>
      <c r="J176" s="148"/>
      <c r="K176" s="148"/>
      <c r="L176" s="145"/>
      <c r="M176" s="145"/>
      <c r="N176" s="145"/>
      <c r="O176" s="145"/>
      <c r="P176" s="145"/>
      <c r="Q176" s="145"/>
      <c r="W176" s="1"/>
    </row>
    <row r="177" spans="1:23" s="68" customFormat="1" ht="24">
      <c r="A177" s="348">
        <f t="shared" si="3"/>
        <v>157</v>
      </c>
      <c r="B177" s="378" t="s">
        <v>149</v>
      </c>
      <c r="C177" s="561" t="s">
        <v>1008</v>
      </c>
      <c r="D177" s="378" t="s">
        <v>1010</v>
      </c>
      <c r="E177" s="573" t="s">
        <v>93</v>
      </c>
      <c r="F177" s="354">
        <v>3</v>
      </c>
      <c r="G177" s="378"/>
      <c r="H177" s="145"/>
      <c r="I177" s="148"/>
      <c r="J177" s="148"/>
      <c r="K177" s="148"/>
      <c r="L177" s="145"/>
      <c r="M177" s="145"/>
      <c r="N177" s="145"/>
      <c r="O177" s="145"/>
      <c r="P177" s="145"/>
      <c r="Q177" s="145"/>
      <c r="W177" s="1"/>
    </row>
    <row r="178" spans="1:23" s="68" customFormat="1">
      <c r="A178" s="348">
        <f t="shared" si="3"/>
        <v>158</v>
      </c>
      <c r="B178" s="378" t="s">
        <v>149</v>
      </c>
      <c r="C178" s="561" t="s">
        <v>1008</v>
      </c>
      <c r="D178" s="378" t="s">
        <v>1011</v>
      </c>
      <c r="E178" s="573" t="s">
        <v>93</v>
      </c>
      <c r="F178" s="354">
        <v>3</v>
      </c>
      <c r="G178" s="378"/>
      <c r="H178" s="145"/>
      <c r="I178" s="148"/>
      <c r="J178" s="148"/>
      <c r="K178" s="148"/>
      <c r="L178" s="145"/>
      <c r="M178" s="145"/>
      <c r="N178" s="145"/>
      <c r="O178" s="145"/>
      <c r="P178" s="145"/>
      <c r="Q178" s="145"/>
      <c r="W178" s="1"/>
    </row>
    <row r="179" spans="1:23" s="68" customFormat="1">
      <c r="A179" s="348">
        <f t="shared" si="3"/>
        <v>159</v>
      </c>
      <c r="B179" s="378" t="s">
        <v>149</v>
      </c>
      <c r="C179" s="561" t="s">
        <v>1008</v>
      </c>
      <c r="D179" s="378" t="s">
        <v>1012</v>
      </c>
      <c r="E179" s="573" t="s">
        <v>93</v>
      </c>
      <c r="F179" s="354">
        <v>1</v>
      </c>
      <c r="G179" s="378"/>
      <c r="H179" s="145"/>
      <c r="I179" s="148"/>
      <c r="J179" s="148"/>
      <c r="K179" s="148"/>
      <c r="L179" s="145"/>
      <c r="M179" s="145"/>
      <c r="N179" s="145"/>
      <c r="O179" s="145"/>
      <c r="P179" s="145"/>
      <c r="Q179" s="145"/>
      <c r="W179" s="1"/>
    </row>
    <row r="180" spans="1:23" s="68" customFormat="1">
      <c r="A180" s="348">
        <f t="shared" si="3"/>
        <v>160</v>
      </c>
      <c r="B180" s="378" t="s">
        <v>149</v>
      </c>
      <c r="C180" s="377" t="s">
        <v>1013</v>
      </c>
      <c r="D180" s="573" t="s">
        <v>1014</v>
      </c>
      <c r="E180" s="573" t="s">
        <v>77</v>
      </c>
      <c r="F180" s="354">
        <v>15</v>
      </c>
      <c r="G180" s="378"/>
      <c r="H180" s="145"/>
      <c r="I180" s="148"/>
      <c r="J180" s="148"/>
      <c r="K180" s="148"/>
      <c r="L180" s="145"/>
      <c r="M180" s="145"/>
      <c r="N180" s="145"/>
      <c r="O180" s="145"/>
      <c r="P180" s="145"/>
      <c r="Q180" s="145"/>
      <c r="W180" s="1"/>
    </row>
    <row r="181" spans="1:23" s="68" customFormat="1">
      <c r="A181" s="348">
        <f t="shared" si="3"/>
        <v>161</v>
      </c>
      <c r="B181" s="378" t="s">
        <v>149</v>
      </c>
      <c r="C181" s="377" t="s">
        <v>1013</v>
      </c>
      <c r="D181" s="573" t="s">
        <v>1015</v>
      </c>
      <c r="E181" s="573" t="s">
        <v>77</v>
      </c>
      <c r="F181" s="583">
        <v>19</v>
      </c>
      <c r="G181" s="574"/>
      <c r="H181" s="145"/>
      <c r="I181" s="148"/>
      <c r="J181" s="148"/>
      <c r="K181" s="148"/>
      <c r="L181" s="145"/>
      <c r="M181" s="145"/>
      <c r="N181" s="145"/>
      <c r="O181" s="145"/>
      <c r="P181" s="145"/>
      <c r="Q181" s="145"/>
      <c r="W181" s="1"/>
    </row>
    <row r="182" spans="1:23" s="68" customFormat="1">
      <c r="A182" s="348">
        <f t="shared" si="3"/>
        <v>162</v>
      </c>
      <c r="B182" s="378" t="s">
        <v>149</v>
      </c>
      <c r="C182" s="377" t="s">
        <v>1013</v>
      </c>
      <c r="D182" s="573" t="s">
        <v>1016</v>
      </c>
      <c r="E182" s="573" t="s">
        <v>77</v>
      </c>
      <c r="F182" s="583">
        <v>4</v>
      </c>
      <c r="G182" s="574"/>
      <c r="H182" s="145"/>
      <c r="I182" s="148"/>
      <c r="J182" s="148"/>
      <c r="K182" s="148"/>
      <c r="L182" s="145"/>
      <c r="M182" s="145"/>
      <c r="N182" s="145"/>
      <c r="O182" s="145"/>
      <c r="P182" s="145"/>
      <c r="Q182" s="145"/>
      <c r="W182" s="1"/>
    </row>
    <row r="183" spans="1:23" s="68" customFormat="1">
      <c r="A183" s="348">
        <f t="shared" si="3"/>
        <v>163</v>
      </c>
      <c r="B183" s="378" t="s">
        <v>149</v>
      </c>
      <c r="C183" s="377" t="s">
        <v>1013</v>
      </c>
      <c r="D183" s="573" t="s">
        <v>1017</v>
      </c>
      <c r="E183" s="573" t="s">
        <v>77</v>
      </c>
      <c r="F183" s="583">
        <v>3</v>
      </c>
      <c r="G183" s="574"/>
      <c r="H183" s="145"/>
      <c r="I183" s="148"/>
      <c r="J183" s="148"/>
      <c r="K183" s="148"/>
      <c r="L183" s="145"/>
      <c r="M183" s="145"/>
      <c r="N183" s="145"/>
      <c r="O183" s="145"/>
      <c r="P183" s="145"/>
      <c r="Q183" s="145"/>
      <c r="W183" s="1"/>
    </row>
    <row r="184" spans="1:23" s="68" customFormat="1">
      <c r="A184" s="348">
        <f t="shared" si="3"/>
        <v>164</v>
      </c>
      <c r="B184" s="378" t="s">
        <v>149</v>
      </c>
      <c r="C184" s="377" t="s">
        <v>1013</v>
      </c>
      <c r="D184" s="573" t="s">
        <v>1018</v>
      </c>
      <c r="E184" s="573" t="s">
        <v>77</v>
      </c>
      <c r="F184" s="583">
        <v>2</v>
      </c>
      <c r="G184" s="574"/>
      <c r="H184" s="145"/>
      <c r="I184" s="148"/>
      <c r="J184" s="148"/>
      <c r="K184" s="148"/>
      <c r="L184" s="145"/>
      <c r="M184" s="145"/>
      <c r="N184" s="145"/>
      <c r="O184" s="145"/>
      <c r="P184" s="145"/>
      <c r="Q184" s="145"/>
      <c r="W184" s="1"/>
    </row>
    <row r="185" spans="1:23" s="68" customFormat="1">
      <c r="A185" s="348">
        <f t="shared" si="3"/>
        <v>165</v>
      </c>
      <c r="B185" s="378" t="s">
        <v>149</v>
      </c>
      <c r="C185" s="377" t="s">
        <v>1013</v>
      </c>
      <c r="D185" s="573" t="s">
        <v>1019</v>
      </c>
      <c r="E185" s="573" t="s">
        <v>77</v>
      </c>
      <c r="F185" s="583">
        <v>1</v>
      </c>
      <c r="G185" s="574"/>
      <c r="H185" s="145"/>
      <c r="I185" s="148"/>
      <c r="J185" s="148"/>
      <c r="K185" s="148"/>
      <c r="L185" s="145"/>
      <c r="M185" s="145"/>
      <c r="N185" s="145"/>
      <c r="O185" s="145"/>
      <c r="P185" s="145"/>
      <c r="Q185" s="145"/>
      <c r="W185" s="1"/>
    </row>
    <row r="186" spans="1:23" s="68" customFormat="1">
      <c r="A186" s="348">
        <f t="shared" si="3"/>
        <v>166</v>
      </c>
      <c r="B186" s="378" t="s">
        <v>149</v>
      </c>
      <c r="C186" s="377" t="s">
        <v>1013</v>
      </c>
      <c r="D186" s="573" t="s">
        <v>1020</v>
      </c>
      <c r="E186" s="573" t="s">
        <v>77</v>
      </c>
      <c r="F186" s="583">
        <v>14</v>
      </c>
      <c r="G186" s="574"/>
      <c r="H186" s="145"/>
      <c r="I186" s="148"/>
      <c r="J186" s="148"/>
      <c r="K186" s="148"/>
      <c r="L186" s="145"/>
      <c r="M186" s="145"/>
      <c r="N186" s="145"/>
      <c r="O186" s="145"/>
      <c r="P186" s="145"/>
      <c r="Q186" s="145"/>
      <c r="W186" s="1"/>
    </row>
    <row r="187" spans="1:23" s="68" customFormat="1">
      <c r="A187" s="348">
        <f t="shared" si="3"/>
        <v>167</v>
      </c>
      <c r="B187" s="378" t="s">
        <v>149</v>
      </c>
      <c r="C187" s="377" t="s">
        <v>1013</v>
      </c>
      <c r="D187" s="573" t="s">
        <v>1021</v>
      </c>
      <c r="E187" s="573" t="s">
        <v>77</v>
      </c>
      <c r="F187" s="583">
        <v>5</v>
      </c>
      <c r="G187" s="574"/>
      <c r="H187" s="145"/>
      <c r="I187" s="148"/>
      <c r="J187" s="148"/>
      <c r="K187" s="148"/>
      <c r="L187" s="145"/>
      <c r="M187" s="145"/>
      <c r="N187" s="145"/>
      <c r="O187" s="145"/>
      <c r="P187" s="145"/>
      <c r="Q187" s="145"/>
      <c r="W187" s="1"/>
    </row>
    <row r="188" spans="1:23" s="68" customFormat="1">
      <c r="A188" s="348">
        <f t="shared" si="3"/>
        <v>168</v>
      </c>
      <c r="B188" s="378" t="s">
        <v>149</v>
      </c>
      <c r="C188" s="377" t="s">
        <v>1013</v>
      </c>
      <c r="D188" s="573" t="s">
        <v>1022</v>
      </c>
      <c r="E188" s="573" t="s">
        <v>77</v>
      </c>
      <c r="F188" s="583">
        <v>2</v>
      </c>
      <c r="G188" s="574"/>
      <c r="H188" s="145"/>
      <c r="I188" s="148"/>
      <c r="J188" s="148"/>
      <c r="K188" s="148"/>
      <c r="L188" s="145"/>
      <c r="M188" s="145"/>
      <c r="N188" s="145"/>
      <c r="O188" s="145"/>
      <c r="P188" s="145"/>
      <c r="Q188" s="145"/>
      <c r="W188" s="1"/>
    </row>
    <row r="189" spans="1:23" s="68" customFormat="1">
      <c r="A189" s="348">
        <f t="shared" si="3"/>
        <v>169</v>
      </c>
      <c r="B189" s="378" t="s">
        <v>149</v>
      </c>
      <c r="C189" s="377" t="s">
        <v>1013</v>
      </c>
      <c r="D189" s="573" t="s">
        <v>1023</v>
      </c>
      <c r="E189" s="573" t="s">
        <v>77</v>
      </c>
      <c r="F189" s="583">
        <v>4</v>
      </c>
      <c r="G189" s="574"/>
      <c r="H189" s="145"/>
      <c r="I189" s="148"/>
      <c r="J189" s="148"/>
      <c r="K189" s="148"/>
      <c r="L189" s="145"/>
      <c r="M189" s="145"/>
      <c r="N189" s="145"/>
      <c r="O189" s="145"/>
      <c r="P189" s="145"/>
      <c r="Q189" s="145"/>
      <c r="W189" s="1"/>
    </row>
    <row r="190" spans="1:23" s="68" customFormat="1">
      <c r="A190" s="348">
        <f t="shared" si="3"/>
        <v>170</v>
      </c>
      <c r="B190" s="378" t="s">
        <v>149</v>
      </c>
      <c r="C190" s="377" t="s">
        <v>1013</v>
      </c>
      <c r="D190" s="573" t="s">
        <v>1024</v>
      </c>
      <c r="E190" s="573" t="s">
        <v>77</v>
      </c>
      <c r="F190" s="583">
        <v>2</v>
      </c>
      <c r="G190" s="574"/>
      <c r="H190" s="145"/>
      <c r="I190" s="148"/>
      <c r="J190" s="148"/>
      <c r="K190" s="148"/>
      <c r="L190" s="145"/>
      <c r="M190" s="145"/>
      <c r="N190" s="145"/>
      <c r="O190" s="145"/>
      <c r="P190" s="145"/>
      <c r="Q190" s="145"/>
      <c r="W190" s="1"/>
    </row>
    <row r="191" spans="1:23" s="68" customFormat="1">
      <c r="A191" s="348">
        <f t="shared" si="3"/>
        <v>171</v>
      </c>
      <c r="B191" s="378" t="s">
        <v>149</v>
      </c>
      <c r="C191" s="377" t="s">
        <v>1013</v>
      </c>
      <c r="D191" s="573" t="s">
        <v>1025</v>
      </c>
      <c r="E191" s="573" t="s">
        <v>77</v>
      </c>
      <c r="F191" s="583">
        <v>2</v>
      </c>
      <c r="G191" s="574"/>
      <c r="H191" s="145"/>
      <c r="I191" s="148"/>
      <c r="J191" s="148"/>
      <c r="K191" s="148"/>
      <c r="L191" s="145"/>
      <c r="M191" s="145"/>
      <c r="N191" s="145"/>
      <c r="O191" s="145"/>
      <c r="P191" s="145"/>
      <c r="Q191" s="145"/>
      <c r="W191" s="1"/>
    </row>
    <row r="192" spans="1:23" s="68" customFormat="1">
      <c r="A192" s="348">
        <f t="shared" si="3"/>
        <v>172</v>
      </c>
      <c r="B192" s="378" t="s">
        <v>149</v>
      </c>
      <c r="C192" s="377" t="s">
        <v>1013</v>
      </c>
      <c r="D192" s="573" t="s">
        <v>1005</v>
      </c>
      <c r="E192" s="573" t="s">
        <v>77</v>
      </c>
      <c r="F192" s="583">
        <v>3</v>
      </c>
      <c r="G192" s="574"/>
      <c r="H192" s="145"/>
      <c r="I192" s="148"/>
      <c r="J192" s="148"/>
      <c r="K192" s="148"/>
      <c r="L192" s="145"/>
      <c r="M192" s="145"/>
      <c r="N192" s="145"/>
      <c r="O192" s="145"/>
      <c r="P192" s="145"/>
      <c r="Q192" s="145"/>
      <c r="W192" s="1"/>
    </row>
    <row r="193" spans="1:23" s="68" customFormat="1">
      <c r="A193" s="348">
        <f t="shared" si="3"/>
        <v>173</v>
      </c>
      <c r="B193" s="378" t="s">
        <v>149</v>
      </c>
      <c r="C193" s="377" t="s">
        <v>1013</v>
      </c>
      <c r="D193" s="573" t="s">
        <v>1026</v>
      </c>
      <c r="E193" s="573" t="s">
        <v>77</v>
      </c>
      <c r="F193" s="583">
        <v>6</v>
      </c>
      <c r="G193" s="574"/>
      <c r="H193" s="145"/>
      <c r="I193" s="148"/>
      <c r="J193" s="148"/>
      <c r="K193" s="148"/>
      <c r="L193" s="145"/>
      <c r="M193" s="145"/>
      <c r="N193" s="145"/>
      <c r="O193" s="145"/>
      <c r="P193" s="145"/>
      <c r="Q193" s="145"/>
      <c r="W193" s="1"/>
    </row>
    <row r="194" spans="1:23" s="68" customFormat="1">
      <c r="A194" s="348">
        <f t="shared" si="3"/>
        <v>174</v>
      </c>
      <c r="B194" s="378" t="s">
        <v>149</v>
      </c>
      <c r="C194" s="377" t="s">
        <v>1013</v>
      </c>
      <c r="D194" s="573" t="s">
        <v>1027</v>
      </c>
      <c r="E194" s="573" t="s">
        <v>77</v>
      </c>
      <c r="F194" s="583">
        <v>10</v>
      </c>
      <c r="G194" s="574"/>
      <c r="H194" s="145"/>
      <c r="I194" s="148"/>
      <c r="J194" s="148"/>
      <c r="K194" s="148"/>
      <c r="L194" s="145"/>
      <c r="M194" s="145"/>
      <c r="N194" s="145"/>
      <c r="O194" s="145"/>
      <c r="P194" s="145"/>
      <c r="Q194" s="145"/>
      <c r="W194" s="1"/>
    </row>
    <row r="195" spans="1:23" s="68" customFormat="1">
      <c r="A195" s="348">
        <f t="shared" si="3"/>
        <v>175</v>
      </c>
      <c r="B195" s="378" t="s">
        <v>149</v>
      </c>
      <c r="C195" s="377" t="s">
        <v>1013</v>
      </c>
      <c r="D195" s="573" t="s">
        <v>1028</v>
      </c>
      <c r="E195" s="573" t="s">
        <v>77</v>
      </c>
      <c r="F195" s="583">
        <v>1</v>
      </c>
      <c r="G195" s="574"/>
      <c r="H195" s="145"/>
      <c r="I195" s="148"/>
      <c r="J195" s="148"/>
      <c r="K195" s="148"/>
      <c r="L195" s="145"/>
      <c r="M195" s="145"/>
      <c r="N195" s="145"/>
      <c r="O195" s="145"/>
      <c r="P195" s="145"/>
      <c r="Q195" s="145"/>
      <c r="W195" s="1"/>
    </row>
    <row r="196" spans="1:23" s="68" customFormat="1" ht="24">
      <c r="A196" s="348">
        <f t="shared" si="3"/>
        <v>176</v>
      </c>
      <c r="B196" s="378" t="s">
        <v>149</v>
      </c>
      <c r="C196" s="377" t="s">
        <v>1029</v>
      </c>
      <c r="D196" s="555" t="s">
        <v>1030</v>
      </c>
      <c r="E196" s="378" t="s">
        <v>1781</v>
      </c>
      <c r="F196" s="354">
        <v>57</v>
      </c>
      <c r="G196" s="378"/>
      <c r="H196" s="145"/>
      <c r="I196" s="148"/>
      <c r="J196" s="148"/>
      <c r="K196" s="148"/>
      <c r="L196" s="145"/>
      <c r="M196" s="145"/>
      <c r="N196" s="145"/>
      <c r="O196" s="145"/>
      <c r="P196" s="145"/>
      <c r="Q196" s="145"/>
      <c r="W196" s="1"/>
    </row>
    <row r="197" spans="1:23" s="68" customFormat="1" ht="24">
      <c r="A197" s="348">
        <f t="shared" si="3"/>
        <v>177</v>
      </c>
      <c r="B197" s="378" t="s">
        <v>149</v>
      </c>
      <c r="C197" s="377" t="s">
        <v>1031</v>
      </c>
      <c r="D197" s="378" t="s">
        <v>1032</v>
      </c>
      <c r="E197" s="378" t="s">
        <v>1781</v>
      </c>
      <c r="F197" s="354">
        <v>20</v>
      </c>
      <c r="G197" s="378"/>
      <c r="H197" s="145"/>
      <c r="I197" s="148"/>
      <c r="J197" s="148"/>
      <c r="K197" s="148"/>
      <c r="L197" s="145"/>
      <c r="M197" s="145"/>
      <c r="N197" s="145"/>
      <c r="O197" s="145"/>
      <c r="P197" s="145"/>
      <c r="Q197" s="145"/>
      <c r="W197" s="1"/>
    </row>
    <row r="198" spans="1:23" s="68" customFormat="1" ht="24">
      <c r="A198" s="348">
        <f t="shared" si="3"/>
        <v>178</v>
      </c>
      <c r="B198" s="378" t="s">
        <v>149</v>
      </c>
      <c r="C198" s="377" t="s">
        <v>1033</v>
      </c>
      <c r="D198" s="378" t="s">
        <v>1032</v>
      </c>
      <c r="E198" s="378" t="s">
        <v>1781</v>
      </c>
      <c r="F198" s="354">
        <v>24</v>
      </c>
      <c r="G198" s="378"/>
      <c r="H198" s="145"/>
      <c r="I198" s="148"/>
      <c r="J198" s="148"/>
      <c r="K198" s="148"/>
      <c r="L198" s="145"/>
      <c r="M198" s="145"/>
      <c r="N198" s="145"/>
      <c r="O198" s="145"/>
      <c r="P198" s="145"/>
      <c r="Q198" s="145"/>
      <c r="W198" s="1"/>
    </row>
    <row r="199" spans="1:23" s="68" customFormat="1">
      <c r="A199" s="348">
        <f t="shared" si="3"/>
        <v>179</v>
      </c>
      <c r="B199" s="378" t="s">
        <v>149</v>
      </c>
      <c r="C199" s="377" t="s">
        <v>1034</v>
      </c>
      <c r="D199" s="378"/>
      <c r="E199" s="434" t="s">
        <v>100</v>
      </c>
      <c r="F199" s="379">
        <v>1</v>
      </c>
      <c r="G199" s="557"/>
      <c r="H199" s="145"/>
      <c r="I199" s="148"/>
      <c r="J199" s="148"/>
      <c r="K199" s="148"/>
      <c r="L199" s="145"/>
      <c r="M199" s="145"/>
      <c r="N199" s="145"/>
      <c r="O199" s="145"/>
      <c r="P199" s="145"/>
      <c r="Q199" s="145"/>
      <c r="W199" s="1"/>
    </row>
    <row r="200" spans="1:23" s="68" customFormat="1">
      <c r="A200" s="348">
        <f t="shared" si="3"/>
        <v>180</v>
      </c>
      <c r="B200" s="378" t="s">
        <v>149</v>
      </c>
      <c r="C200" s="561" t="s">
        <v>1035</v>
      </c>
      <c r="D200" s="434"/>
      <c r="E200" s="434" t="s">
        <v>100</v>
      </c>
      <c r="F200" s="379">
        <v>1</v>
      </c>
      <c r="G200" s="557"/>
      <c r="H200" s="145"/>
      <c r="I200" s="148"/>
      <c r="J200" s="148"/>
      <c r="K200" s="148"/>
      <c r="L200" s="145"/>
      <c r="M200" s="145"/>
      <c r="N200" s="145"/>
      <c r="O200" s="145"/>
      <c r="P200" s="145"/>
      <c r="Q200" s="145"/>
      <c r="W200" s="1"/>
    </row>
    <row r="201" spans="1:23" s="68" customFormat="1">
      <c r="A201" s="348">
        <f t="shared" si="3"/>
        <v>181</v>
      </c>
      <c r="B201" s="378" t="s">
        <v>149</v>
      </c>
      <c r="C201" s="561" t="s">
        <v>1036</v>
      </c>
      <c r="D201" s="434"/>
      <c r="E201" s="434" t="s">
        <v>100</v>
      </c>
      <c r="F201" s="379">
        <v>1</v>
      </c>
      <c r="G201" s="557"/>
      <c r="H201" s="145"/>
      <c r="I201" s="148"/>
      <c r="J201" s="148"/>
      <c r="K201" s="148"/>
      <c r="L201" s="145"/>
      <c r="M201" s="145"/>
      <c r="N201" s="145"/>
      <c r="O201" s="145"/>
      <c r="P201" s="145"/>
      <c r="Q201" s="145"/>
      <c r="W201" s="1"/>
    </row>
    <row r="202" spans="1:23" s="68" customFormat="1">
      <c r="A202" s="348">
        <f t="shared" si="3"/>
        <v>182</v>
      </c>
      <c r="B202" s="378" t="s">
        <v>149</v>
      </c>
      <c r="C202" s="561" t="s">
        <v>935</v>
      </c>
      <c r="D202" s="434"/>
      <c r="E202" s="434" t="s">
        <v>100</v>
      </c>
      <c r="F202" s="379">
        <v>1</v>
      </c>
      <c r="G202" s="557"/>
      <c r="H202" s="145"/>
      <c r="I202" s="148"/>
      <c r="J202" s="148"/>
      <c r="K202" s="148"/>
      <c r="L202" s="145"/>
      <c r="M202" s="145"/>
      <c r="N202" s="145"/>
      <c r="O202" s="145"/>
      <c r="P202" s="145"/>
      <c r="Q202" s="145"/>
      <c r="W202" s="1"/>
    </row>
    <row r="203" spans="1:23" s="68" customFormat="1">
      <c r="A203" s="348">
        <f t="shared" si="3"/>
        <v>183</v>
      </c>
      <c r="B203" s="378" t="s">
        <v>149</v>
      </c>
      <c r="C203" s="561" t="s">
        <v>936</v>
      </c>
      <c r="D203" s="434"/>
      <c r="E203" s="434" t="s">
        <v>100</v>
      </c>
      <c r="F203" s="379">
        <v>1</v>
      </c>
      <c r="G203" s="557"/>
      <c r="H203" s="145"/>
      <c r="I203" s="148"/>
      <c r="J203" s="148"/>
      <c r="K203" s="148"/>
      <c r="L203" s="145"/>
      <c r="M203" s="145"/>
      <c r="N203" s="145"/>
      <c r="O203" s="145"/>
      <c r="P203" s="145"/>
      <c r="Q203" s="145"/>
      <c r="W203" s="1"/>
    </row>
    <row r="204" spans="1:23" s="68" customFormat="1">
      <c r="A204" s="348">
        <f t="shared" si="3"/>
        <v>184</v>
      </c>
      <c r="B204" s="378" t="s">
        <v>149</v>
      </c>
      <c r="C204" s="561" t="s">
        <v>1037</v>
      </c>
      <c r="D204" s="434"/>
      <c r="E204" s="434" t="s">
        <v>100</v>
      </c>
      <c r="F204" s="379">
        <v>1</v>
      </c>
      <c r="G204" s="557"/>
      <c r="H204" s="145"/>
      <c r="I204" s="148"/>
      <c r="J204" s="148"/>
      <c r="K204" s="148"/>
      <c r="L204" s="145"/>
      <c r="M204" s="145"/>
      <c r="N204" s="145"/>
      <c r="O204" s="145"/>
      <c r="P204" s="145"/>
      <c r="Q204" s="145"/>
      <c r="W204" s="1"/>
    </row>
    <row r="205" spans="1:23" s="68" customFormat="1">
      <c r="A205" s="348">
        <f t="shared" si="3"/>
        <v>185</v>
      </c>
      <c r="B205" s="378" t="s">
        <v>149</v>
      </c>
      <c r="C205" s="575" t="s">
        <v>982</v>
      </c>
      <c r="D205" s="378"/>
      <c r="E205" s="573" t="s">
        <v>100</v>
      </c>
      <c r="F205" s="354">
        <v>1</v>
      </c>
      <c r="G205" s="435"/>
      <c r="H205" s="145"/>
      <c r="I205" s="148"/>
      <c r="J205" s="148"/>
      <c r="K205" s="148"/>
      <c r="L205" s="145"/>
      <c r="M205" s="145"/>
      <c r="N205" s="145"/>
      <c r="O205" s="145"/>
      <c r="P205" s="145"/>
      <c r="Q205" s="145"/>
      <c r="W205" s="1"/>
    </row>
    <row r="206" spans="1:23" s="68" customFormat="1">
      <c r="A206" s="380">
        <f t="shared" si="3"/>
        <v>186</v>
      </c>
      <c r="B206" s="382" t="s">
        <v>149</v>
      </c>
      <c r="C206" s="381" t="s">
        <v>981</v>
      </c>
      <c r="D206" s="492"/>
      <c r="E206" s="492" t="s">
        <v>100</v>
      </c>
      <c r="F206" s="383">
        <v>1</v>
      </c>
      <c r="G206" s="564"/>
      <c r="H206" s="150"/>
      <c r="I206" s="151"/>
      <c r="J206" s="151"/>
      <c r="K206" s="151"/>
      <c r="L206" s="150"/>
      <c r="M206" s="150"/>
      <c r="N206" s="150"/>
      <c r="O206" s="150"/>
      <c r="P206" s="150"/>
      <c r="Q206" s="150"/>
      <c r="W206" s="1"/>
    </row>
    <row r="207" spans="1:23" s="68" customFormat="1">
      <c r="A207" s="370"/>
      <c r="B207" s="500"/>
      <c r="C207" s="371" t="s">
        <v>1038</v>
      </c>
      <c r="D207" s="547"/>
      <c r="E207" s="547"/>
      <c r="F207" s="580"/>
      <c r="G207" s="547"/>
      <c r="H207" s="135"/>
      <c r="I207" s="152"/>
      <c r="J207" s="152"/>
      <c r="K207" s="152"/>
      <c r="L207" s="135"/>
      <c r="M207" s="135"/>
      <c r="N207" s="135"/>
      <c r="O207" s="135"/>
      <c r="P207" s="135"/>
      <c r="Q207" s="135"/>
      <c r="W207" s="1"/>
    </row>
    <row r="208" spans="1:23" s="68" customFormat="1" ht="60">
      <c r="A208" s="385">
        <f>A206+1</f>
        <v>187</v>
      </c>
      <c r="B208" s="387" t="s">
        <v>149</v>
      </c>
      <c r="C208" s="551" t="s">
        <v>1039</v>
      </c>
      <c r="D208" s="387" t="s">
        <v>988</v>
      </c>
      <c r="E208" s="571" t="s">
        <v>90</v>
      </c>
      <c r="F208" s="433">
        <v>1</v>
      </c>
      <c r="G208" s="572"/>
      <c r="H208" s="146"/>
      <c r="I208" s="149"/>
      <c r="J208" s="149"/>
      <c r="K208" s="149"/>
      <c r="L208" s="146"/>
      <c r="M208" s="146"/>
      <c r="N208" s="146"/>
      <c r="O208" s="146"/>
      <c r="P208" s="146"/>
      <c r="Q208" s="146"/>
      <c r="W208" s="1"/>
    </row>
    <row r="209" spans="1:23" s="68" customFormat="1" ht="36">
      <c r="A209" s="348">
        <f>A208+1</f>
        <v>188</v>
      </c>
      <c r="B209" s="378" t="s">
        <v>149</v>
      </c>
      <c r="C209" s="377" t="s">
        <v>1040</v>
      </c>
      <c r="D209" s="378" t="s">
        <v>1041</v>
      </c>
      <c r="E209" s="573" t="s">
        <v>93</v>
      </c>
      <c r="F209" s="354">
        <v>1</v>
      </c>
      <c r="G209" s="378"/>
      <c r="H209" s="145"/>
      <c r="I209" s="148"/>
      <c r="J209" s="148"/>
      <c r="K209" s="148"/>
      <c r="L209" s="145"/>
      <c r="M209" s="145"/>
      <c r="N209" s="145"/>
      <c r="O209" s="145"/>
      <c r="P209" s="145"/>
      <c r="Q209" s="145"/>
      <c r="W209" s="1"/>
    </row>
    <row r="210" spans="1:23" s="68" customFormat="1" ht="36">
      <c r="A210" s="348">
        <f t="shared" ref="A210:A257" si="4">A209+1</f>
        <v>189</v>
      </c>
      <c r="B210" s="378" t="s">
        <v>149</v>
      </c>
      <c r="C210" s="377" t="s">
        <v>989</v>
      </c>
      <c r="D210" s="378" t="s">
        <v>1042</v>
      </c>
      <c r="E210" s="573" t="s">
        <v>93</v>
      </c>
      <c r="F210" s="354">
        <v>1</v>
      </c>
      <c r="G210" s="378"/>
      <c r="H210" s="145"/>
      <c r="I210" s="148"/>
      <c r="J210" s="148"/>
      <c r="K210" s="148"/>
      <c r="L210" s="145"/>
      <c r="M210" s="145"/>
      <c r="N210" s="145"/>
      <c r="O210" s="145"/>
      <c r="P210" s="145"/>
      <c r="Q210" s="145"/>
      <c r="W210" s="1"/>
    </row>
    <row r="211" spans="1:23" s="68" customFormat="1" ht="36">
      <c r="A211" s="348">
        <f t="shared" si="4"/>
        <v>190</v>
      </c>
      <c r="B211" s="378" t="s">
        <v>149</v>
      </c>
      <c r="C211" s="377" t="s">
        <v>989</v>
      </c>
      <c r="D211" s="378" t="s">
        <v>1043</v>
      </c>
      <c r="E211" s="573" t="s">
        <v>93</v>
      </c>
      <c r="F211" s="354">
        <v>1</v>
      </c>
      <c r="G211" s="378"/>
      <c r="H211" s="145"/>
      <c r="I211" s="148"/>
      <c r="J211" s="148"/>
      <c r="K211" s="148"/>
      <c r="L211" s="145"/>
      <c r="M211" s="145"/>
      <c r="N211" s="145"/>
      <c r="O211" s="145"/>
      <c r="P211" s="145"/>
      <c r="Q211" s="145"/>
      <c r="W211" s="1"/>
    </row>
    <row r="212" spans="1:23" s="68" customFormat="1">
      <c r="A212" s="348">
        <f t="shared" si="4"/>
        <v>191</v>
      </c>
      <c r="B212" s="378" t="s">
        <v>149</v>
      </c>
      <c r="C212" s="377" t="s">
        <v>992</v>
      </c>
      <c r="D212" s="378" t="s">
        <v>1044</v>
      </c>
      <c r="E212" s="573" t="s">
        <v>93</v>
      </c>
      <c r="F212" s="354">
        <v>1</v>
      </c>
      <c r="G212" s="378"/>
      <c r="H212" s="145"/>
      <c r="I212" s="148"/>
      <c r="J212" s="148"/>
      <c r="K212" s="148"/>
      <c r="L212" s="145"/>
      <c r="M212" s="145"/>
      <c r="N212" s="145"/>
      <c r="O212" s="145"/>
      <c r="P212" s="145"/>
      <c r="Q212" s="145"/>
      <c r="W212" s="1"/>
    </row>
    <row r="213" spans="1:23" s="68" customFormat="1">
      <c r="A213" s="348">
        <f t="shared" si="4"/>
        <v>192</v>
      </c>
      <c r="B213" s="378" t="s">
        <v>149</v>
      </c>
      <c r="C213" s="377" t="s">
        <v>992</v>
      </c>
      <c r="D213" s="378" t="s">
        <v>993</v>
      </c>
      <c r="E213" s="573" t="s">
        <v>93</v>
      </c>
      <c r="F213" s="354">
        <v>5</v>
      </c>
      <c r="G213" s="378"/>
      <c r="H213" s="145"/>
      <c r="I213" s="148"/>
      <c r="J213" s="148"/>
      <c r="K213" s="148"/>
      <c r="L213" s="145"/>
      <c r="M213" s="145"/>
      <c r="N213" s="145"/>
      <c r="O213" s="145"/>
      <c r="P213" s="145"/>
      <c r="Q213" s="145"/>
      <c r="W213" s="1"/>
    </row>
    <row r="214" spans="1:23" s="68" customFormat="1">
      <c r="A214" s="348">
        <f t="shared" si="4"/>
        <v>193</v>
      </c>
      <c r="B214" s="378" t="s">
        <v>149</v>
      </c>
      <c r="C214" s="377" t="s">
        <v>992</v>
      </c>
      <c r="D214" s="378" t="s">
        <v>994</v>
      </c>
      <c r="E214" s="573" t="s">
        <v>93</v>
      </c>
      <c r="F214" s="354">
        <v>5</v>
      </c>
      <c r="G214" s="378"/>
      <c r="H214" s="145"/>
      <c r="I214" s="148"/>
      <c r="J214" s="148"/>
      <c r="K214" s="148"/>
      <c r="L214" s="145"/>
      <c r="M214" s="145"/>
      <c r="N214" s="145"/>
      <c r="O214" s="145"/>
      <c r="P214" s="145"/>
      <c r="Q214" s="145"/>
      <c r="W214" s="1"/>
    </row>
    <row r="215" spans="1:23" s="68" customFormat="1">
      <c r="A215" s="348">
        <f t="shared" si="4"/>
        <v>194</v>
      </c>
      <c r="B215" s="378" t="s">
        <v>149</v>
      </c>
      <c r="C215" s="377" t="s">
        <v>992</v>
      </c>
      <c r="D215" s="378" t="s">
        <v>1045</v>
      </c>
      <c r="E215" s="573" t="s">
        <v>93</v>
      </c>
      <c r="F215" s="354">
        <v>1</v>
      </c>
      <c r="G215" s="378"/>
      <c r="H215" s="145"/>
      <c r="I215" s="148"/>
      <c r="J215" s="148"/>
      <c r="K215" s="148"/>
      <c r="L215" s="145"/>
      <c r="M215" s="145"/>
      <c r="N215" s="145"/>
      <c r="O215" s="145"/>
      <c r="P215" s="145"/>
      <c r="Q215" s="145"/>
      <c r="W215" s="1"/>
    </row>
    <row r="216" spans="1:23" s="68" customFormat="1" ht="24">
      <c r="A216" s="348">
        <f t="shared" si="4"/>
        <v>195</v>
      </c>
      <c r="B216" s="378" t="s">
        <v>149</v>
      </c>
      <c r="C216" s="377" t="s">
        <v>992</v>
      </c>
      <c r="D216" s="378" t="s">
        <v>1046</v>
      </c>
      <c r="E216" s="573" t="s">
        <v>93</v>
      </c>
      <c r="F216" s="354">
        <v>1</v>
      </c>
      <c r="G216" s="378"/>
      <c r="H216" s="145"/>
      <c r="I216" s="148"/>
      <c r="J216" s="148"/>
      <c r="K216" s="148"/>
      <c r="L216" s="145"/>
      <c r="M216" s="145"/>
      <c r="N216" s="145"/>
      <c r="O216" s="145"/>
      <c r="P216" s="145"/>
      <c r="Q216" s="145"/>
      <c r="W216" s="1"/>
    </row>
    <row r="217" spans="1:23" s="68" customFormat="1" ht="24">
      <c r="A217" s="348">
        <f t="shared" si="4"/>
        <v>196</v>
      </c>
      <c r="B217" s="378" t="s">
        <v>149</v>
      </c>
      <c r="C217" s="377" t="s">
        <v>996</v>
      </c>
      <c r="D217" s="378" t="s">
        <v>1047</v>
      </c>
      <c r="E217" s="573" t="s">
        <v>93</v>
      </c>
      <c r="F217" s="354">
        <v>2</v>
      </c>
      <c r="G217" s="378"/>
      <c r="H217" s="145"/>
      <c r="I217" s="148"/>
      <c r="J217" s="148"/>
      <c r="K217" s="148"/>
      <c r="L217" s="145"/>
      <c r="M217" s="145"/>
      <c r="N217" s="145"/>
      <c r="O217" s="145"/>
      <c r="P217" s="145"/>
      <c r="Q217" s="145"/>
      <c r="W217" s="1"/>
    </row>
    <row r="218" spans="1:23" s="68" customFormat="1" ht="24">
      <c r="A218" s="348">
        <f t="shared" si="4"/>
        <v>197</v>
      </c>
      <c r="B218" s="378" t="s">
        <v>149</v>
      </c>
      <c r="C218" s="561" t="s">
        <v>1002</v>
      </c>
      <c r="D218" s="378" t="s">
        <v>1048</v>
      </c>
      <c r="E218" s="573" t="s">
        <v>93</v>
      </c>
      <c r="F218" s="354">
        <v>1</v>
      </c>
      <c r="G218" s="378"/>
      <c r="H218" s="145"/>
      <c r="I218" s="148"/>
      <c r="J218" s="148"/>
      <c r="K218" s="148"/>
      <c r="L218" s="145"/>
      <c r="M218" s="145"/>
      <c r="N218" s="145"/>
      <c r="O218" s="145"/>
      <c r="P218" s="145"/>
      <c r="Q218" s="145"/>
      <c r="W218" s="1"/>
    </row>
    <row r="219" spans="1:23" s="68" customFormat="1" ht="24">
      <c r="A219" s="348">
        <f t="shared" si="4"/>
        <v>198</v>
      </c>
      <c r="B219" s="378" t="s">
        <v>149</v>
      </c>
      <c r="C219" s="561" t="s">
        <v>1002</v>
      </c>
      <c r="D219" s="378" t="s">
        <v>1049</v>
      </c>
      <c r="E219" s="573" t="s">
        <v>93</v>
      </c>
      <c r="F219" s="354">
        <v>1</v>
      </c>
      <c r="G219" s="378"/>
      <c r="H219" s="145"/>
      <c r="I219" s="148"/>
      <c r="J219" s="148"/>
      <c r="K219" s="148"/>
      <c r="L219" s="145"/>
      <c r="M219" s="145"/>
      <c r="N219" s="145"/>
      <c r="O219" s="145"/>
      <c r="P219" s="145"/>
      <c r="Q219" s="145"/>
      <c r="W219" s="1"/>
    </row>
    <row r="220" spans="1:23" s="68" customFormat="1">
      <c r="A220" s="348">
        <f t="shared" si="4"/>
        <v>199</v>
      </c>
      <c r="B220" s="378" t="s">
        <v>149</v>
      </c>
      <c r="C220" s="561" t="s">
        <v>1006</v>
      </c>
      <c r="D220" s="378" t="s">
        <v>1007</v>
      </c>
      <c r="E220" s="573" t="s">
        <v>93</v>
      </c>
      <c r="F220" s="354">
        <v>28</v>
      </c>
      <c r="G220" s="378"/>
      <c r="H220" s="145"/>
      <c r="I220" s="148"/>
      <c r="J220" s="148"/>
      <c r="K220" s="148"/>
      <c r="L220" s="145"/>
      <c r="M220" s="145"/>
      <c r="N220" s="145"/>
      <c r="O220" s="145"/>
      <c r="P220" s="145"/>
      <c r="Q220" s="145"/>
      <c r="W220" s="1"/>
    </row>
    <row r="221" spans="1:23" s="68" customFormat="1" ht="24">
      <c r="A221" s="348">
        <f t="shared" si="4"/>
        <v>200</v>
      </c>
      <c r="B221" s="378" t="s">
        <v>149</v>
      </c>
      <c r="C221" s="561" t="s">
        <v>1008</v>
      </c>
      <c r="D221" s="378" t="s">
        <v>1009</v>
      </c>
      <c r="E221" s="573" t="s">
        <v>93</v>
      </c>
      <c r="F221" s="354">
        <v>6</v>
      </c>
      <c r="G221" s="378"/>
      <c r="H221" s="145"/>
      <c r="I221" s="148"/>
      <c r="J221" s="148"/>
      <c r="K221" s="148"/>
      <c r="L221" s="145"/>
      <c r="M221" s="145"/>
      <c r="N221" s="145"/>
      <c r="O221" s="145"/>
      <c r="P221" s="145"/>
      <c r="Q221" s="145"/>
      <c r="W221" s="1"/>
    </row>
    <row r="222" spans="1:23" s="68" customFormat="1" ht="24">
      <c r="A222" s="348">
        <f t="shared" si="4"/>
        <v>201</v>
      </c>
      <c r="B222" s="378" t="s">
        <v>149</v>
      </c>
      <c r="C222" s="561" t="s">
        <v>1008</v>
      </c>
      <c r="D222" s="378" t="s">
        <v>1010</v>
      </c>
      <c r="E222" s="573" t="s">
        <v>93</v>
      </c>
      <c r="F222" s="354">
        <v>2</v>
      </c>
      <c r="G222" s="378"/>
      <c r="H222" s="145"/>
      <c r="I222" s="148"/>
      <c r="J222" s="148"/>
      <c r="K222" s="148"/>
      <c r="L222" s="145"/>
      <c r="M222" s="145"/>
      <c r="N222" s="145"/>
      <c r="O222" s="145"/>
      <c r="P222" s="145"/>
      <c r="Q222" s="145"/>
      <c r="W222" s="1"/>
    </row>
    <row r="223" spans="1:23" s="68" customFormat="1" ht="24">
      <c r="A223" s="348">
        <f t="shared" si="4"/>
        <v>202</v>
      </c>
      <c r="B223" s="378" t="s">
        <v>149</v>
      </c>
      <c r="C223" s="561" t="s">
        <v>1008</v>
      </c>
      <c r="D223" s="378" t="s">
        <v>1050</v>
      </c>
      <c r="E223" s="573" t="s">
        <v>93</v>
      </c>
      <c r="F223" s="354">
        <v>1</v>
      </c>
      <c r="G223" s="378"/>
      <c r="H223" s="145"/>
      <c r="I223" s="148"/>
      <c r="J223" s="148"/>
      <c r="K223" s="148"/>
      <c r="L223" s="145"/>
      <c r="M223" s="145"/>
      <c r="N223" s="145"/>
      <c r="O223" s="145"/>
      <c r="P223" s="145"/>
      <c r="Q223" s="145"/>
      <c r="W223" s="1"/>
    </row>
    <row r="224" spans="1:23" s="68" customFormat="1">
      <c r="A224" s="348">
        <f t="shared" si="4"/>
        <v>203</v>
      </c>
      <c r="B224" s="378" t="s">
        <v>149</v>
      </c>
      <c r="C224" s="561" t="s">
        <v>1008</v>
      </c>
      <c r="D224" s="378" t="s">
        <v>1051</v>
      </c>
      <c r="E224" s="573" t="s">
        <v>93</v>
      </c>
      <c r="F224" s="354">
        <v>1</v>
      </c>
      <c r="G224" s="378"/>
      <c r="H224" s="145"/>
      <c r="I224" s="148"/>
      <c r="J224" s="148"/>
      <c r="K224" s="148"/>
      <c r="L224" s="145"/>
      <c r="M224" s="145"/>
      <c r="N224" s="145"/>
      <c r="O224" s="145"/>
      <c r="P224" s="145"/>
      <c r="Q224" s="145"/>
      <c r="W224" s="1"/>
    </row>
    <row r="225" spans="1:23" s="68" customFormat="1">
      <c r="A225" s="348">
        <f t="shared" si="4"/>
        <v>204</v>
      </c>
      <c r="B225" s="378" t="s">
        <v>149</v>
      </c>
      <c r="C225" s="561" t="s">
        <v>1008</v>
      </c>
      <c r="D225" s="378" t="s">
        <v>1011</v>
      </c>
      <c r="E225" s="573" t="s">
        <v>93</v>
      </c>
      <c r="F225" s="354">
        <v>1</v>
      </c>
      <c r="G225" s="378"/>
      <c r="H225" s="145"/>
      <c r="I225" s="148"/>
      <c r="J225" s="148"/>
      <c r="K225" s="148"/>
      <c r="L225" s="145"/>
      <c r="M225" s="145"/>
      <c r="N225" s="145"/>
      <c r="O225" s="145"/>
      <c r="P225" s="145"/>
      <c r="Q225" s="145"/>
      <c r="W225" s="1"/>
    </row>
    <row r="226" spans="1:23" s="68" customFormat="1">
      <c r="A226" s="348">
        <f t="shared" si="4"/>
        <v>205</v>
      </c>
      <c r="B226" s="378" t="s">
        <v>149</v>
      </c>
      <c r="C226" s="561" t="s">
        <v>1008</v>
      </c>
      <c r="D226" s="378" t="s">
        <v>1012</v>
      </c>
      <c r="E226" s="573" t="s">
        <v>93</v>
      </c>
      <c r="F226" s="354">
        <v>1</v>
      </c>
      <c r="G226" s="378"/>
      <c r="H226" s="145"/>
      <c r="I226" s="148"/>
      <c r="J226" s="148"/>
      <c r="K226" s="148"/>
      <c r="L226" s="145"/>
      <c r="M226" s="145"/>
      <c r="N226" s="145"/>
      <c r="O226" s="145"/>
      <c r="P226" s="145"/>
      <c r="Q226" s="145"/>
      <c r="W226" s="1"/>
    </row>
    <row r="227" spans="1:23" s="68" customFormat="1">
      <c r="A227" s="348">
        <f t="shared" si="4"/>
        <v>206</v>
      </c>
      <c r="B227" s="378" t="s">
        <v>149</v>
      </c>
      <c r="C227" s="377" t="s">
        <v>1013</v>
      </c>
      <c r="D227" s="573" t="s">
        <v>1052</v>
      </c>
      <c r="E227" s="573" t="s">
        <v>77</v>
      </c>
      <c r="F227" s="354">
        <v>1</v>
      </c>
      <c r="G227" s="378"/>
      <c r="H227" s="145"/>
      <c r="I227" s="148"/>
      <c r="J227" s="148"/>
      <c r="K227" s="148"/>
      <c r="L227" s="145"/>
      <c r="M227" s="145"/>
      <c r="N227" s="145"/>
      <c r="O227" s="145"/>
      <c r="P227" s="145"/>
      <c r="Q227" s="145"/>
      <c r="W227" s="1"/>
    </row>
    <row r="228" spans="1:23" s="68" customFormat="1">
      <c r="A228" s="348">
        <f t="shared" si="4"/>
        <v>207</v>
      </c>
      <c r="B228" s="378" t="s">
        <v>149</v>
      </c>
      <c r="C228" s="377" t="s">
        <v>1013</v>
      </c>
      <c r="D228" s="573" t="s">
        <v>1014</v>
      </c>
      <c r="E228" s="573" t="s">
        <v>77</v>
      </c>
      <c r="F228" s="354">
        <v>13</v>
      </c>
      <c r="G228" s="378"/>
      <c r="H228" s="145"/>
      <c r="I228" s="148"/>
      <c r="J228" s="148"/>
      <c r="K228" s="148"/>
      <c r="L228" s="145"/>
      <c r="M228" s="145"/>
      <c r="N228" s="145"/>
      <c r="O228" s="145"/>
      <c r="P228" s="145"/>
      <c r="Q228" s="145"/>
      <c r="W228" s="1"/>
    </row>
    <row r="229" spans="1:23" s="68" customFormat="1">
      <c r="A229" s="348">
        <f t="shared" si="4"/>
        <v>208</v>
      </c>
      <c r="B229" s="378" t="s">
        <v>149</v>
      </c>
      <c r="C229" s="377" t="s">
        <v>1013</v>
      </c>
      <c r="D229" s="573" t="s">
        <v>1015</v>
      </c>
      <c r="E229" s="573" t="s">
        <v>77</v>
      </c>
      <c r="F229" s="583">
        <v>9</v>
      </c>
      <c r="G229" s="574"/>
      <c r="H229" s="145"/>
      <c r="I229" s="148"/>
      <c r="J229" s="148"/>
      <c r="K229" s="148"/>
      <c r="L229" s="145"/>
      <c r="M229" s="145"/>
      <c r="N229" s="145"/>
      <c r="O229" s="145"/>
      <c r="P229" s="145"/>
      <c r="Q229" s="145"/>
      <c r="W229" s="1"/>
    </row>
    <row r="230" spans="1:23" s="68" customFormat="1">
      <c r="A230" s="348">
        <f t="shared" si="4"/>
        <v>209</v>
      </c>
      <c r="B230" s="378" t="s">
        <v>149</v>
      </c>
      <c r="C230" s="377" t="s">
        <v>1013</v>
      </c>
      <c r="D230" s="573" t="s">
        <v>1016</v>
      </c>
      <c r="E230" s="573" t="s">
        <v>77</v>
      </c>
      <c r="F230" s="583">
        <v>7</v>
      </c>
      <c r="G230" s="574"/>
      <c r="H230" s="145"/>
      <c r="I230" s="148"/>
      <c r="J230" s="148"/>
      <c r="K230" s="148"/>
      <c r="L230" s="145"/>
      <c r="M230" s="145"/>
      <c r="N230" s="145"/>
      <c r="O230" s="145"/>
      <c r="P230" s="145"/>
      <c r="Q230" s="145"/>
      <c r="W230" s="1"/>
    </row>
    <row r="231" spans="1:23" s="68" customFormat="1">
      <c r="A231" s="348">
        <f t="shared" si="4"/>
        <v>210</v>
      </c>
      <c r="B231" s="378" t="s">
        <v>149</v>
      </c>
      <c r="C231" s="377" t="s">
        <v>1013</v>
      </c>
      <c r="D231" s="573" t="s">
        <v>1017</v>
      </c>
      <c r="E231" s="573" t="s">
        <v>77</v>
      </c>
      <c r="F231" s="583">
        <v>4</v>
      </c>
      <c r="G231" s="574"/>
      <c r="H231" s="145"/>
      <c r="I231" s="148"/>
      <c r="J231" s="148"/>
      <c r="K231" s="148"/>
      <c r="L231" s="145"/>
      <c r="M231" s="145"/>
      <c r="N231" s="145"/>
      <c r="O231" s="145"/>
      <c r="P231" s="145"/>
      <c r="Q231" s="145"/>
      <c r="W231" s="1"/>
    </row>
    <row r="232" spans="1:23" s="68" customFormat="1">
      <c r="A232" s="348">
        <f t="shared" si="4"/>
        <v>211</v>
      </c>
      <c r="B232" s="378" t="s">
        <v>149</v>
      </c>
      <c r="C232" s="377" t="s">
        <v>1013</v>
      </c>
      <c r="D232" s="573" t="s">
        <v>1018</v>
      </c>
      <c r="E232" s="573" t="s">
        <v>77</v>
      </c>
      <c r="F232" s="583">
        <v>2</v>
      </c>
      <c r="G232" s="574"/>
      <c r="H232" s="145"/>
      <c r="I232" s="148"/>
      <c r="J232" s="148"/>
      <c r="K232" s="148"/>
      <c r="L232" s="145"/>
      <c r="M232" s="145"/>
      <c r="N232" s="145"/>
      <c r="O232" s="145"/>
      <c r="P232" s="145"/>
      <c r="Q232" s="145"/>
      <c r="W232" s="1"/>
    </row>
    <row r="233" spans="1:23" s="68" customFormat="1">
      <c r="A233" s="348">
        <f t="shared" si="4"/>
        <v>212</v>
      </c>
      <c r="B233" s="378" t="s">
        <v>149</v>
      </c>
      <c r="C233" s="377" t="s">
        <v>1013</v>
      </c>
      <c r="D233" s="573" t="s">
        <v>1019</v>
      </c>
      <c r="E233" s="573" t="s">
        <v>77</v>
      </c>
      <c r="F233" s="583">
        <v>1</v>
      </c>
      <c r="G233" s="574"/>
      <c r="H233" s="145"/>
      <c r="I233" s="148"/>
      <c r="J233" s="148"/>
      <c r="K233" s="148"/>
      <c r="L233" s="145"/>
      <c r="M233" s="145"/>
      <c r="N233" s="145"/>
      <c r="O233" s="145"/>
      <c r="P233" s="145"/>
      <c r="Q233" s="145"/>
      <c r="W233" s="1"/>
    </row>
    <row r="234" spans="1:23" s="68" customFormat="1">
      <c r="A234" s="348">
        <f t="shared" si="4"/>
        <v>213</v>
      </c>
      <c r="B234" s="378" t="s">
        <v>149</v>
      </c>
      <c r="C234" s="377" t="s">
        <v>1013</v>
      </c>
      <c r="D234" s="573" t="s">
        <v>1053</v>
      </c>
      <c r="E234" s="573" t="s">
        <v>77</v>
      </c>
      <c r="F234" s="583">
        <v>1</v>
      </c>
      <c r="G234" s="574"/>
      <c r="H234" s="145"/>
      <c r="I234" s="148"/>
      <c r="J234" s="148"/>
      <c r="K234" s="148"/>
      <c r="L234" s="145"/>
      <c r="M234" s="145"/>
      <c r="N234" s="145"/>
      <c r="O234" s="145"/>
      <c r="P234" s="145"/>
      <c r="Q234" s="145"/>
      <c r="W234" s="1"/>
    </row>
    <row r="235" spans="1:23" s="68" customFormat="1">
      <c r="A235" s="348">
        <f t="shared" si="4"/>
        <v>214</v>
      </c>
      <c r="B235" s="378" t="s">
        <v>149</v>
      </c>
      <c r="C235" s="377" t="s">
        <v>1013</v>
      </c>
      <c r="D235" s="573" t="s">
        <v>1020</v>
      </c>
      <c r="E235" s="573" t="s">
        <v>77</v>
      </c>
      <c r="F235" s="583">
        <v>14</v>
      </c>
      <c r="G235" s="574"/>
      <c r="H235" s="145"/>
      <c r="I235" s="148"/>
      <c r="J235" s="148"/>
      <c r="K235" s="148"/>
      <c r="L235" s="145"/>
      <c r="M235" s="145"/>
      <c r="N235" s="145"/>
      <c r="O235" s="145"/>
      <c r="P235" s="145"/>
      <c r="Q235" s="145"/>
      <c r="W235" s="1"/>
    </row>
    <row r="236" spans="1:23" s="68" customFormat="1">
      <c r="A236" s="348">
        <f t="shared" si="4"/>
        <v>215</v>
      </c>
      <c r="B236" s="378" t="s">
        <v>149</v>
      </c>
      <c r="C236" s="377" t="s">
        <v>1013</v>
      </c>
      <c r="D236" s="573" t="s">
        <v>1021</v>
      </c>
      <c r="E236" s="573" t="s">
        <v>77</v>
      </c>
      <c r="F236" s="583">
        <v>4</v>
      </c>
      <c r="G236" s="574"/>
      <c r="H236" s="145"/>
      <c r="I236" s="148"/>
      <c r="J236" s="148"/>
      <c r="K236" s="148"/>
      <c r="L236" s="145"/>
      <c r="M236" s="145"/>
      <c r="N236" s="145"/>
      <c r="O236" s="145"/>
      <c r="P236" s="145"/>
      <c r="Q236" s="145"/>
      <c r="W236" s="1"/>
    </row>
    <row r="237" spans="1:23" s="68" customFormat="1">
      <c r="A237" s="348">
        <f t="shared" si="4"/>
        <v>216</v>
      </c>
      <c r="B237" s="378" t="s">
        <v>149</v>
      </c>
      <c r="C237" s="377" t="s">
        <v>1013</v>
      </c>
      <c r="D237" s="573" t="s">
        <v>1054</v>
      </c>
      <c r="E237" s="573" t="s">
        <v>77</v>
      </c>
      <c r="F237" s="583">
        <v>2</v>
      </c>
      <c r="G237" s="574"/>
      <c r="H237" s="145"/>
      <c r="I237" s="148"/>
      <c r="J237" s="148"/>
      <c r="K237" s="148"/>
      <c r="L237" s="145"/>
      <c r="M237" s="145"/>
      <c r="N237" s="145"/>
      <c r="O237" s="145"/>
      <c r="P237" s="145"/>
      <c r="Q237" s="145"/>
      <c r="W237" s="1"/>
    </row>
    <row r="238" spans="1:23" s="68" customFormat="1">
      <c r="A238" s="348">
        <f t="shared" si="4"/>
        <v>217</v>
      </c>
      <c r="B238" s="378" t="s">
        <v>149</v>
      </c>
      <c r="C238" s="377" t="s">
        <v>1013</v>
      </c>
      <c r="D238" s="573" t="s">
        <v>1023</v>
      </c>
      <c r="E238" s="573" t="s">
        <v>77</v>
      </c>
      <c r="F238" s="583">
        <v>2</v>
      </c>
      <c r="G238" s="574"/>
      <c r="H238" s="145"/>
      <c r="I238" s="148"/>
      <c r="J238" s="148"/>
      <c r="K238" s="148"/>
      <c r="L238" s="145"/>
      <c r="M238" s="145"/>
      <c r="N238" s="145"/>
      <c r="O238" s="145"/>
      <c r="P238" s="145"/>
      <c r="Q238" s="145"/>
      <c r="W238" s="1"/>
    </row>
    <row r="239" spans="1:23" s="68" customFormat="1">
      <c r="A239" s="348">
        <f t="shared" si="4"/>
        <v>218</v>
      </c>
      <c r="B239" s="378" t="s">
        <v>149</v>
      </c>
      <c r="C239" s="377" t="s">
        <v>1013</v>
      </c>
      <c r="D239" s="573" t="s">
        <v>1024</v>
      </c>
      <c r="E239" s="573" t="s">
        <v>77</v>
      </c>
      <c r="F239" s="583">
        <v>2</v>
      </c>
      <c r="G239" s="574"/>
      <c r="H239" s="145"/>
      <c r="I239" s="148"/>
      <c r="J239" s="148"/>
      <c r="K239" s="148"/>
      <c r="L239" s="145"/>
      <c r="M239" s="145"/>
      <c r="N239" s="145"/>
      <c r="O239" s="145"/>
      <c r="P239" s="145"/>
      <c r="Q239" s="145"/>
      <c r="W239" s="1"/>
    </row>
    <row r="240" spans="1:23" s="68" customFormat="1">
      <c r="A240" s="348">
        <f t="shared" si="4"/>
        <v>219</v>
      </c>
      <c r="B240" s="378" t="s">
        <v>149</v>
      </c>
      <c r="C240" s="377" t="s">
        <v>1013</v>
      </c>
      <c r="D240" s="573" t="s">
        <v>1055</v>
      </c>
      <c r="E240" s="573" t="s">
        <v>77</v>
      </c>
      <c r="F240" s="583">
        <v>1</v>
      </c>
      <c r="G240" s="574"/>
      <c r="H240" s="145"/>
      <c r="I240" s="148"/>
      <c r="J240" s="148"/>
      <c r="K240" s="148"/>
      <c r="L240" s="145"/>
      <c r="M240" s="145"/>
      <c r="N240" s="145"/>
      <c r="O240" s="145"/>
      <c r="P240" s="145"/>
      <c r="Q240" s="145"/>
      <c r="W240" s="1"/>
    </row>
    <row r="241" spans="1:23" s="68" customFormat="1">
      <c r="A241" s="348">
        <f t="shared" si="4"/>
        <v>220</v>
      </c>
      <c r="B241" s="378" t="s">
        <v>149</v>
      </c>
      <c r="C241" s="377" t="s">
        <v>1013</v>
      </c>
      <c r="D241" s="573" t="s">
        <v>1025</v>
      </c>
      <c r="E241" s="573" t="s">
        <v>77</v>
      </c>
      <c r="F241" s="583">
        <v>3</v>
      </c>
      <c r="G241" s="574"/>
      <c r="H241" s="145"/>
      <c r="I241" s="148"/>
      <c r="J241" s="148"/>
      <c r="K241" s="148"/>
      <c r="L241" s="145"/>
      <c r="M241" s="145"/>
      <c r="N241" s="145"/>
      <c r="O241" s="145"/>
      <c r="P241" s="145"/>
      <c r="Q241" s="145"/>
      <c r="W241" s="1"/>
    </row>
    <row r="242" spans="1:23" s="68" customFormat="1">
      <c r="A242" s="348">
        <f t="shared" si="4"/>
        <v>221</v>
      </c>
      <c r="B242" s="378" t="s">
        <v>149</v>
      </c>
      <c r="C242" s="377" t="s">
        <v>1013</v>
      </c>
      <c r="D242" s="573" t="s">
        <v>1056</v>
      </c>
      <c r="E242" s="573" t="s">
        <v>77</v>
      </c>
      <c r="F242" s="583">
        <v>6</v>
      </c>
      <c r="G242" s="574"/>
      <c r="H242" s="145"/>
      <c r="I242" s="148"/>
      <c r="J242" s="148"/>
      <c r="K242" s="148"/>
      <c r="L242" s="145"/>
      <c r="M242" s="145"/>
      <c r="N242" s="145"/>
      <c r="O242" s="145"/>
      <c r="P242" s="145"/>
      <c r="Q242" s="145"/>
      <c r="W242" s="1"/>
    </row>
    <row r="243" spans="1:23" s="68" customFormat="1">
      <c r="A243" s="348">
        <f t="shared" si="4"/>
        <v>222</v>
      </c>
      <c r="B243" s="378" t="s">
        <v>149</v>
      </c>
      <c r="C243" s="377" t="s">
        <v>1013</v>
      </c>
      <c r="D243" s="573" t="s">
        <v>1057</v>
      </c>
      <c r="E243" s="573" t="s">
        <v>77</v>
      </c>
      <c r="F243" s="583">
        <v>1</v>
      </c>
      <c r="G243" s="574"/>
      <c r="H243" s="145"/>
      <c r="I243" s="148"/>
      <c r="J243" s="148"/>
      <c r="K243" s="148"/>
      <c r="L243" s="145"/>
      <c r="M243" s="145"/>
      <c r="N243" s="145"/>
      <c r="O243" s="145"/>
      <c r="P243" s="145"/>
      <c r="Q243" s="145"/>
      <c r="W243" s="1"/>
    </row>
    <row r="244" spans="1:23" s="68" customFormat="1">
      <c r="A244" s="348">
        <f t="shared" si="4"/>
        <v>223</v>
      </c>
      <c r="B244" s="378" t="s">
        <v>149</v>
      </c>
      <c r="C244" s="377" t="s">
        <v>1013</v>
      </c>
      <c r="D244" s="573" t="s">
        <v>1026</v>
      </c>
      <c r="E244" s="573" t="s">
        <v>77</v>
      </c>
      <c r="F244" s="583">
        <v>7</v>
      </c>
      <c r="G244" s="574"/>
      <c r="H244" s="145"/>
      <c r="I244" s="148"/>
      <c r="J244" s="148"/>
      <c r="K244" s="148"/>
      <c r="L244" s="145"/>
      <c r="M244" s="145"/>
      <c r="N244" s="145"/>
      <c r="O244" s="145"/>
      <c r="P244" s="145"/>
      <c r="Q244" s="145"/>
      <c r="W244" s="1"/>
    </row>
    <row r="245" spans="1:23" s="68" customFormat="1">
      <c r="A245" s="348">
        <f t="shared" si="4"/>
        <v>224</v>
      </c>
      <c r="B245" s="378" t="s">
        <v>149</v>
      </c>
      <c r="C245" s="377" t="s">
        <v>1013</v>
      </c>
      <c r="D245" s="573" t="s">
        <v>1028</v>
      </c>
      <c r="E245" s="573" t="s">
        <v>77</v>
      </c>
      <c r="F245" s="583">
        <v>1</v>
      </c>
      <c r="G245" s="574"/>
      <c r="H245" s="145"/>
      <c r="I245" s="148"/>
      <c r="J245" s="148"/>
      <c r="K245" s="148"/>
      <c r="L245" s="145"/>
      <c r="M245" s="145"/>
      <c r="N245" s="145"/>
      <c r="O245" s="145"/>
      <c r="P245" s="145"/>
      <c r="Q245" s="145"/>
      <c r="W245" s="1"/>
    </row>
    <row r="246" spans="1:23" s="68" customFormat="1" ht="24">
      <c r="A246" s="348">
        <f t="shared" si="4"/>
        <v>225</v>
      </c>
      <c r="B246" s="378" t="s">
        <v>149</v>
      </c>
      <c r="C246" s="377" t="s">
        <v>1013</v>
      </c>
      <c r="D246" s="573" t="s">
        <v>1058</v>
      </c>
      <c r="E246" s="573" t="s">
        <v>77</v>
      </c>
      <c r="F246" s="583">
        <v>2</v>
      </c>
      <c r="G246" s="574"/>
      <c r="H246" s="145"/>
      <c r="I246" s="148"/>
      <c r="J246" s="148"/>
      <c r="K246" s="148"/>
      <c r="L246" s="145"/>
      <c r="M246" s="145"/>
      <c r="N246" s="145"/>
      <c r="O246" s="145"/>
      <c r="P246" s="145"/>
      <c r="Q246" s="145"/>
      <c r="W246" s="1"/>
    </row>
    <row r="247" spans="1:23" s="68" customFormat="1" ht="24">
      <c r="A247" s="348">
        <f t="shared" si="4"/>
        <v>226</v>
      </c>
      <c r="B247" s="378" t="s">
        <v>149</v>
      </c>
      <c r="C247" s="377" t="s">
        <v>1029</v>
      </c>
      <c r="D247" s="555" t="s">
        <v>1030</v>
      </c>
      <c r="E247" s="378" t="s">
        <v>1781</v>
      </c>
      <c r="F247" s="354">
        <v>55</v>
      </c>
      <c r="G247" s="378"/>
      <c r="H247" s="145"/>
      <c r="I247" s="148"/>
      <c r="J247" s="148"/>
      <c r="K247" s="148"/>
      <c r="L247" s="145"/>
      <c r="M247" s="145"/>
      <c r="N247" s="145"/>
      <c r="O247" s="145"/>
      <c r="P247" s="145"/>
      <c r="Q247" s="145"/>
      <c r="W247" s="1"/>
    </row>
    <row r="248" spans="1:23" s="68" customFormat="1" ht="24">
      <c r="A248" s="348">
        <f t="shared" si="4"/>
        <v>227</v>
      </c>
      <c r="B248" s="378" t="s">
        <v>149</v>
      </c>
      <c r="C248" s="377" t="s">
        <v>1031</v>
      </c>
      <c r="D248" s="378" t="s">
        <v>1032</v>
      </c>
      <c r="E248" s="378" t="s">
        <v>1781</v>
      </c>
      <c r="F248" s="354">
        <v>8</v>
      </c>
      <c r="G248" s="378"/>
      <c r="H248" s="145"/>
      <c r="I248" s="148"/>
      <c r="J248" s="148"/>
      <c r="K248" s="148"/>
      <c r="L248" s="145"/>
      <c r="M248" s="145"/>
      <c r="N248" s="145"/>
      <c r="O248" s="145"/>
      <c r="P248" s="145"/>
      <c r="Q248" s="145"/>
      <c r="W248" s="1"/>
    </row>
    <row r="249" spans="1:23" s="68" customFormat="1" ht="24">
      <c r="A249" s="348">
        <f t="shared" si="4"/>
        <v>228</v>
      </c>
      <c r="B249" s="378" t="s">
        <v>149</v>
      </c>
      <c r="C249" s="377" t="s">
        <v>1033</v>
      </c>
      <c r="D249" s="378" t="s">
        <v>1032</v>
      </c>
      <c r="E249" s="378" t="s">
        <v>1781</v>
      </c>
      <c r="F249" s="354">
        <v>6</v>
      </c>
      <c r="G249" s="378"/>
      <c r="H249" s="145"/>
      <c r="I249" s="148"/>
      <c r="J249" s="148"/>
      <c r="K249" s="148"/>
      <c r="L249" s="145"/>
      <c r="M249" s="145"/>
      <c r="N249" s="145"/>
      <c r="O249" s="145"/>
      <c r="P249" s="145"/>
      <c r="Q249" s="145"/>
      <c r="W249" s="1"/>
    </row>
    <row r="250" spans="1:23" s="68" customFormat="1">
      <c r="A250" s="348">
        <f t="shared" si="4"/>
        <v>229</v>
      </c>
      <c r="B250" s="378" t="s">
        <v>149</v>
      </c>
      <c r="C250" s="377" t="s">
        <v>1034</v>
      </c>
      <c r="D250" s="378"/>
      <c r="E250" s="434" t="s">
        <v>100</v>
      </c>
      <c r="F250" s="379">
        <v>1</v>
      </c>
      <c r="G250" s="557"/>
      <c r="H250" s="145"/>
      <c r="I250" s="148"/>
      <c r="J250" s="148"/>
      <c r="K250" s="148"/>
      <c r="L250" s="145"/>
      <c r="M250" s="145"/>
      <c r="N250" s="145"/>
      <c r="O250" s="145"/>
      <c r="P250" s="145"/>
      <c r="Q250" s="145"/>
      <c r="W250" s="1"/>
    </row>
    <row r="251" spans="1:23" s="68" customFormat="1">
      <c r="A251" s="348">
        <f t="shared" si="4"/>
        <v>230</v>
      </c>
      <c r="B251" s="378" t="s">
        <v>149</v>
      </c>
      <c r="C251" s="561" t="s">
        <v>1035</v>
      </c>
      <c r="D251" s="434"/>
      <c r="E251" s="434" t="s">
        <v>100</v>
      </c>
      <c r="F251" s="379">
        <v>1</v>
      </c>
      <c r="G251" s="557"/>
      <c r="H251" s="145"/>
      <c r="I251" s="148"/>
      <c r="J251" s="148"/>
      <c r="K251" s="148"/>
      <c r="L251" s="145"/>
      <c r="M251" s="145"/>
      <c r="N251" s="145"/>
      <c r="O251" s="145"/>
      <c r="P251" s="145"/>
      <c r="Q251" s="145"/>
      <c r="W251" s="1"/>
    </row>
    <row r="252" spans="1:23" s="68" customFormat="1">
      <c r="A252" s="348">
        <f t="shared" si="4"/>
        <v>231</v>
      </c>
      <c r="B252" s="378" t="s">
        <v>149</v>
      </c>
      <c r="C252" s="561" t="s">
        <v>1036</v>
      </c>
      <c r="D252" s="434"/>
      <c r="E252" s="434" t="s">
        <v>100</v>
      </c>
      <c r="F252" s="379">
        <v>1</v>
      </c>
      <c r="G252" s="557"/>
      <c r="H252" s="145"/>
      <c r="I252" s="148"/>
      <c r="J252" s="148"/>
      <c r="K252" s="148"/>
      <c r="L252" s="145"/>
      <c r="M252" s="145"/>
      <c r="N252" s="145"/>
      <c r="O252" s="145"/>
      <c r="P252" s="145"/>
      <c r="Q252" s="145"/>
      <c r="W252" s="1"/>
    </row>
    <row r="253" spans="1:23" s="68" customFormat="1">
      <c r="A253" s="348">
        <f t="shared" si="4"/>
        <v>232</v>
      </c>
      <c r="B253" s="378" t="s">
        <v>149</v>
      </c>
      <c r="C253" s="561" t="s">
        <v>935</v>
      </c>
      <c r="D253" s="434"/>
      <c r="E253" s="434" t="s">
        <v>100</v>
      </c>
      <c r="F253" s="379">
        <v>1</v>
      </c>
      <c r="G253" s="557"/>
      <c r="H253" s="145"/>
      <c r="I253" s="148"/>
      <c r="J253" s="148"/>
      <c r="K253" s="148"/>
      <c r="L253" s="145"/>
      <c r="M253" s="145"/>
      <c r="N253" s="145"/>
      <c r="O253" s="145"/>
      <c r="P253" s="145"/>
      <c r="Q253" s="145"/>
      <c r="W253" s="1"/>
    </row>
    <row r="254" spans="1:23" s="68" customFormat="1">
      <c r="A254" s="348">
        <f t="shared" si="4"/>
        <v>233</v>
      </c>
      <c r="B254" s="378" t="s">
        <v>149</v>
      </c>
      <c r="C254" s="561" t="s">
        <v>936</v>
      </c>
      <c r="D254" s="434"/>
      <c r="E254" s="434" t="s">
        <v>100</v>
      </c>
      <c r="F254" s="379">
        <v>1</v>
      </c>
      <c r="G254" s="557"/>
      <c r="H254" s="145"/>
      <c r="I254" s="148"/>
      <c r="J254" s="148"/>
      <c r="K254" s="148"/>
      <c r="L254" s="145"/>
      <c r="M254" s="145"/>
      <c r="N254" s="145"/>
      <c r="O254" s="145"/>
      <c r="P254" s="145"/>
      <c r="Q254" s="145"/>
      <c r="W254" s="1"/>
    </row>
    <row r="255" spans="1:23" s="68" customFormat="1">
      <c r="A255" s="348">
        <f t="shared" si="4"/>
        <v>234</v>
      </c>
      <c r="B255" s="378" t="s">
        <v>149</v>
      </c>
      <c r="C255" s="561" t="s">
        <v>1037</v>
      </c>
      <c r="D255" s="434"/>
      <c r="E255" s="434" t="s">
        <v>100</v>
      </c>
      <c r="F255" s="379">
        <v>1</v>
      </c>
      <c r="G255" s="557"/>
      <c r="H255" s="145"/>
      <c r="I255" s="148"/>
      <c r="J255" s="148"/>
      <c r="K255" s="148"/>
      <c r="L255" s="145"/>
      <c r="M255" s="145"/>
      <c r="N255" s="145"/>
      <c r="O255" s="145"/>
      <c r="P255" s="145"/>
      <c r="Q255" s="145"/>
      <c r="W255" s="1"/>
    </row>
    <row r="256" spans="1:23" s="68" customFormat="1">
      <c r="A256" s="348">
        <f t="shared" si="4"/>
        <v>235</v>
      </c>
      <c r="B256" s="378" t="s">
        <v>149</v>
      </c>
      <c r="C256" s="575" t="s">
        <v>982</v>
      </c>
      <c r="D256" s="378"/>
      <c r="E256" s="573" t="s">
        <v>100</v>
      </c>
      <c r="F256" s="354">
        <v>1</v>
      </c>
      <c r="G256" s="435"/>
      <c r="H256" s="145"/>
      <c r="I256" s="148"/>
      <c r="J256" s="148"/>
      <c r="K256" s="148"/>
      <c r="L256" s="145"/>
      <c r="M256" s="145"/>
      <c r="N256" s="145"/>
      <c r="O256" s="145"/>
      <c r="P256" s="145"/>
      <c r="Q256" s="145"/>
      <c r="W256" s="1"/>
    </row>
    <row r="257" spans="1:23" s="68" customFormat="1">
      <c r="A257" s="380">
        <f t="shared" si="4"/>
        <v>236</v>
      </c>
      <c r="B257" s="382" t="s">
        <v>149</v>
      </c>
      <c r="C257" s="381" t="s">
        <v>981</v>
      </c>
      <c r="D257" s="492"/>
      <c r="E257" s="492" t="s">
        <v>100</v>
      </c>
      <c r="F257" s="383">
        <v>1</v>
      </c>
      <c r="G257" s="564"/>
      <c r="H257" s="150"/>
      <c r="I257" s="151"/>
      <c r="J257" s="151"/>
      <c r="K257" s="151"/>
      <c r="L257" s="150"/>
      <c r="M257" s="150"/>
      <c r="N257" s="150"/>
      <c r="O257" s="150"/>
      <c r="P257" s="150"/>
      <c r="Q257" s="150"/>
      <c r="W257" s="1"/>
    </row>
    <row r="258" spans="1:23" s="68" customFormat="1">
      <c r="A258" s="370"/>
      <c r="B258" s="500"/>
      <c r="C258" s="371" t="s">
        <v>1059</v>
      </c>
      <c r="D258" s="547"/>
      <c r="E258" s="547"/>
      <c r="F258" s="580"/>
      <c r="G258" s="547"/>
      <c r="H258" s="135"/>
      <c r="I258" s="152"/>
      <c r="J258" s="152"/>
      <c r="K258" s="152"/>
      <c r="L258" s="135"/>
      <c r="M258" s="135"/>
      <c r="N258" s="135"/>
      <c r="O258" s="135"/>
      <c r="P258" s="135"/>
      <c r="Q258" s="135"/>
      <c r="W258" s="1"/>
    </row>
    <row r="259" spans="1:23" s="68" customFormat="1" ht="60">
      <c r="A259" s="385">
        <f>A257+1</f>
        <v>237</v>
      </c>
      <c r="B259" s="387" t="s">
        <v>149</v>
      </c>
      <c r="C259" s="551" t="s">
        <v>1060</v>
      </c>
      <c r="D259" s="387" t="s">
        <v>1061</v>
      </c>
      <c r="E259" s="571" t="s">
        <v>90</v>
      </c>
      <c r="F259" s="433">
        <v>1</v>
      </c>
      <c r="G259" s="572"/>
      <c r="H259" s="146"/>
      <c r="I259" s="149"/>
      <c r="J259" s="149"/>
      <c r="K259" s="149"/>
      <c r="L259" s="146"/>
      <c r="M259" s="146"/>
      <c r="N259" s="146"/>
      <c r="O259" s="146"/>
      <c r="P259" s="146"/>
      <c r="Q259" s="146"/>
      <c r="W259" s="1"/>
    </row>
    <row r="260" spans="1:23" s="68" customFormat="1" ht="24">
      <c r="A260" s="348">
        <f>A259+1</f>
        <v>238</v>
      </c>
      <c r="B260" s="378" t="s">
        <v>149</v>
      </c>
      <c r="C260" s="377" t="s">
        <v>1040</v>
      </c>
      <c r="D260" s="378" t="s">
        <v>1062</v>
      </c>
      <c r="E260" s="573" t="s">
        <v>93</v>
      </c>
      <c r="F260" s="354">
        <v>1</v>
      </c>
      <c r="G260" s="378"/>
      <c r="H260" s="145"/>
      <c r="I260" s="148"/>
      <c r="J260" s="148"/>
      <c r="K260" s="148"/>
      <c r="L260" s="145"/>
      <c r="M260" s="145"/>
      <c r="N260" s="145"/>
      <c r="O260" s="145"/>
      <c r="P260" s="145"/>
      <c r="Q260" s="145"/>
      <c r="W260" s="1"/>
    </row>
    <row r="261" spans="1:23" s="68" customFormat="1" ht="36">
      <c r="A261" s="348">
        <f t="shared" ref="A261:A311" si="5">A260+1</f>
        <v>239</v>
      </c>
      <c r="B261" s="378" t="s">
        <v>149</v>
      </c>
      <c r="C261" s="377" t="s">
        <v>989</v>
      </c>
      <c r="D261" s="378" t="s">
        <v>1063</v>
      </c>
      <c r="E261" s="573" t="s">
        <v>93</v>
      </c>
      <c r="F261" s="354">
        <v>2</v>
      </c>
      <c r="G261" s="378"/>
      <c r="H261" s="145"/>
      <c r="I261" s="148"/>
      <c r="J261" s="148"/>
      <c r="K261" s="148"/>
      <c r="L261" s="145"/>
      <c r="M261" s="145"/>
      <c r="N261" s="145"/>
      <c r="O261" s="145"/>
      <c r="P261" s="145"/>
      <c r="Q261" s="145"/>
      <c r="W261" s="1"/>
    </row>
    <row r="262" spans="1:23" s="68" customFormat="1">
      <c r="A262" s="348">
        <f t="shared" si="5"/>
        <v>240</v>
      </c>
      <c r="B262" s="378" t="s">
        <v>149</v>
      </c>
      <c r="C262" s="377" t="s">
        <v>992</v>
      </c>
      <c r="D262" s="378" t="s">
        <v>1044</v>
      </c>
      <c r="E262" s="573" t="s">
        <v>93</v>
      </c>
      <c r="F262" s="379">
        <v>1</v>
      </c>
      <c r="G262" s="464"/>
      <c r="H262" s="145"/>
      <c r="I262" s="148"/>
      <c r="J262" s="148"/>
      <c r="K262" s="148"/>
      <c r="L262" s="145"/>
      <c r="M262" s="145"/>
      <c r="N262" s="145"/>
      <c r="O262" s="145"/>
      <c r="P262" s="145"/>
      <c r="Q262" s="145"/>
      <c r="W262" s="1"/>
    </row>
    <row r="263" spans="1:23" s="68" customFormat="1">
      <c r="A263" s="348">
        <f t="shared" si="5"/>
        <v>241</v>
      </c>
      <c r="B263" s="378" t="s">
        <v>149</v>
      </c>
      <c r="C263" s="377" t="s">
        <v>992</v>
      </c>
      <c r="D263" s="378" t="s">
        <v>993</v>
      </c>
      <c r="E263" s="573" t="s">
        <v>93</v>
      </c>
      <c r="F263" s="379">
        <v>7</v>
      </c>
      <c r="G263" s="464"/>
      <c r="H263" s="145"/>
      <c r="I263" s="148"/>
      <c r="J263" s="148"/>
      <c r="K263" s="148"/>
      <c r="L263" s="145"/>
      <c r="M263" s="145"/>
      <c r="N263" s="145"/>
      <c r="O263" s="145"/>
      <c r="P263" s="145"/>
      <c r="Q263" s="145"/>
      <c r="W263" s="1"/>
    </row>
    <row r="264" spans="1:23" s="68" customFormat="1">
      <c r="A264" s="348">
        <f t="shared" si="5"/>
        <v>242</v>
      </c>
      <c r="B264" s="378" t="s">
        <v>149</v>
      </c>
      <c r="C264" s="377" t="s">
        <v>992</v>
      </c>
      <c r="D264" s="378" t="s">
        <v>994</v>
      </c>
      <c r="E264" s="573" t="s">
        <v>93</v>
      </c>
      <c r="F264" s="379">
        <v>3</v>
      </c>
      <c r="G264" s="464"/>
      <c r="H264" s="145"/>
      <c r="I264" s="148"/>
      <c r="J264" s="148"/>
      <c r="K264" s="148"/>
      <c r="L264" s="145"/>
      <c r="M264" s="145"/>
      <c r="N264" s="145"/>
      <c r="O264" s="145"/>
      <c r="P264" s="145"/>
      <c r="Q264" s="145"/>
      <c r="W264" s="1"/>
    </row>
    <row r="265" spans="1:23" s="68" customFormat="1">
      <c r="A265" s="348">
        <f t="shared" si="5"/>
        <v>243</v>
      </c>
      <c r="B265" s="378" t="s">
        <v>149</v>
      </c>
      <c r="C265" s="377" t="s">
        <v>992</v>
      </c>
      <c r="D265" s="378" t="s">
        <v>1045</v>
      </c>
      <c r="E265" s="573" t="s">
        <v>93</v>
      </c>
      <c r="F265" s="379">
        <v>4</v>
      </c>
      <c r="G265" s="464"/>
      <c r="H265" s="145"/>
      <c r="I265" s="148"/>
      <c r="J265" s="148"/>
      <c r="K265" s="148"/>
      <c r="L265" s="145"/>
      <c r="M265" s="145"/>
      <c r="N265" s="145"/>
      <c r="O265" s="145"/>
      <c r="P265" s="145"/>
      <c r="Q265" s="145"/>
      <c r="W265" s="1"/>
    </row>
    <row r="266" spans="1:23" s="68" customFormat="1" ht="24">
      <c r="A266" s="348">
        <f t="shared" si="5"/>
        <v>244</v>
      </c>
      <c r="B266" s="378" t="s">
        <v>149</v>
      </c>
      <c r="C266" s="377" t="s">
        <v>992</v>
      </c>
      <c r="D266" s="378" t="s">
        <v>1064</v>
      </c>
      <c r="E266" s="573" t="s">
        <v>93</v>
      </c>
      <c r="F266" s="354">
        <v>1</v>
      </c>
      <c r="G266" s="378"/>
      <c r="H266" s="145"/>
      <c r="I266" s="148"/>
      <c r="J266" s="148"/>
      <c r="K266" s="148"/>
      <c r="L266" s="145"/>
      <c r="M266" s="145"/>
      <c r="N266" s="145"/>
      <c r="O266" s="145"/>
      <c r="P266" s="145"/>
      <c r="Q266" s="145"/>
      <c r="W266" s="1"/>
    </row>
    <row r="267" spans="1:23" s="68" customFormat="1" ht="24">
      <c r="A267" s="348">
        <f t="shared" si="5"/>
        <v>245</v>
      </c>
      <c r="B267" s="378" t="s">
        <v>149</v>
      </c>
      <c r="C267" s="377" t="s">
        <v>992</v>
      </c>
      <c r="D267" s="378" t="s">
        <v>1065</v>
      </c>
      <c r="E267" s="573" t="s">
        <v>93</v>
      </c>
      <c r="F267" s="354">
        <v>1</v>
      </c>
      <c r="G267" s="378"/>
      <c r="H267" s="145"/>
      <c r="I267" s="148"/>
      <c r="J267" s="148"/>
      <c r="K267" s="148"/>
      <c r="L267" s="145"/>
      <c r="M267" s="145"/>
      <c r="N267" s="145"/>
      <c r="O267" s="145"/>
      <c r="P267" s="145"/>
      <c r="Q267" s="145"/>
      <c r="W267" s="1"/>
    </row>
    <row r="268" spans="1:23" s="68" customFormat="1" ht="24">
      <c r="A268" s="348">
        <f t="shared" si="5"/>
        <v>246</v>
      </c>
      <c r="B268" s="378" t="s">
        <v>149</v>
      </c>
      <c r="C268" s="561" t="s">
        <v>1002</v>
      </c>
      <c r="D268" s="378" t="s">
        <v>1048</v>
      </c>
      <c r="E268" s="573" t="s">
        <v>93</v>
      </c>
      <c r="F268" s="354">
        <v>2</v>
      </c>
      <c r="G268" s="378"/>
      <c r="H268" s="145"/>
      <c r="I268" s="148"/>
      <c r="J268" s="148"/>
      <c r="K268" s="148"/>
      <c r="L268" s="145"/>
      <c r="M268" s="145"/>
      <c r="N268" s="145"/>
      <c r="O268" s="145"/>
      <c r="P268" s="145"/>
      <c r="Q268" s="145"/>
      <c r="W268" s="1"/>
    </row>
    <row r="269" spans="1:23" s="68" customFormat="1" ht="24">
      <c r="A269" s="348">
        <f t="shared" si="5"/>
        <v>247</v>
      </c>
      <c r="B269" s="378" t="s">
        <v>149</v>
      </c>
      <c r="C269" s="561" t="s">
        <v>1002</v>
      </c>
      <c r="D269" s="378" t="s">
        <v>1049</v>
      </c>
      <c r="E269" s="573" t="s">
        <v>93</v>
      </c>
      <c r="F269" s="354">
        <v>1</v>
      </c>
      <c r="G269" s="378"/>
      <c r="H269" s="145"/>
      <c r="I269" s="148"/>
      <c r="J269" s="148"/>
      <c r="K269" s="148"/>
      <c r="L269" s="145"/>
      <c r="M269" s="145"/>
      <c r="N269" s="145"/>
      <c r="O269" s="145"/>
      <c r="P269" s="145"/>
      <c r="Q269" s="145"/>
      <c r="W269" s="1"/>
    </row>
    <row r="270" spans="1:23" s="68" customFormat="1">
      <c r="A270" s="348">
        <f t="shared" si="5"/>
        <v>248</v>
      </c>
      <c r="B270" s="378" t="s">
        <v>149</v>
      </c>
      <c r="C270" s="561" t="s">
        <v>1008</v>
      </c>
      <c r="D270" s="566" t="s">
        <v>1009</v>
      </c>
      <c r="E270" s="573" t="s">
        <v>93</v>
      </c>
      <c r="F270" s="379">
        <v>5</v>
      </c>
      <c r="G270" s="464"/>
      <c r="H270" s="145"/>
      <c r="I270" s="148"/>
      <c r="J270" s="148"/>
      <c r="K270" s="148"/>
      <c r="L270" s="145"/>
      <c r="M270" s="145"/>
      <c r="N270" s="145"/>
      <c r="O270" s="145"/>
      <c r="P270" s="145"/>
      <c r="Q270" s="145"/>
      <c r="W270" s="1"/>
    </row>
    <row r="271" spans="1:23" s="68" customFormat="1">
      <c r="A271" s="348">
        <f t="shared" si="5"/>
        <v>249</v>
      </c>
      <c r="B271" s="378" t="s">
        <v>149</v>
      </c>
      <c r="C271" s="561" t="s">
        <v>1008</v>
      </c>
      <c r="D271" s="566" t="s">
        <v>1010</v>
      </c>
      <c r="E271" s="573" t="s">
        <v>93</v>
      </c>
      <c r="F271" s="379">
        <v>5</v>
      </c>
      <c r="G271" s="464"/>
      <c r="H271" s="145"/>
      <c r="I271" s="148"/>
      <c r="J271" s="148"/>
      <c r="K271" s="148"/>
      <c r="L271" s="145"/>
      <c r="M271" s="145"/>
      <c r="N271" s="145"/>
      <c r="O271" s="145"/>
      <c r="P271" s="145"/>
      <c r="Q271" s="145"/>
      <c r="W271" s="1"/>
    </row>
    <row r="272" spans="1:23" s="68" customFormat="1">
      <c r="A272" s="348">
        <f t="shared" si="5"/>
        <v>250</v>
      </c>
      <c r="B272" s="378" t="s">
        <v>149</v>
      </c>
      <c r="C272" s="561" t="s">
        <v>1008</v>
      </c>
      <c r="D272" s="566" t="s">
        <v>1050</v>
      </c>
      <c r="E272" s="573" t="s">
        <v>93</v>
      </c>
      <c r="F272" s="379">
        <v>1</v>
      </c>
      <c r="G272" s="464"/>
      <c r="H272" s="145"/>
      <c r="I272" s="148"/>
      <c r="J272" s="148"/>
      <c r="K272" s="148"/>
      <c r="L272" s="145"/>
      <c r="M272" s="145"/>
      <c r="N272" s="145"/>
      <c r="O272" s="145"/>
      <c r="P272" s="145"/>
      <c r="Q272" s="145"/>
      <c r="W272" s="1"/>
    </row>
    <row r="273" spans="1:23" s="68" customFormat="1">
      <c r="A273" s="348">
        <f t="shared" si="5"/>
        <v>251</v>
      </c>
      <c r="B273" s="378" t="s">
        <v>149</v>
      </c>
      <c r="C273" s="561" t="s">
        <v>1008</v>
      </c>
      <c r="D273" s="566" t="s">
        <v>1066</v>
      </c>
      <c r="E273" s="573" t="s">
        <v>93</v>
      </c>
      <c r="F273" s="379">
        <v>1</v>
      </c>
      <c r="G273" s="464"/>
      <c r="H273" s="145"/>
      <c r="I273" s="148"/>
      <c r="J273" s="148"/>
      <c r="K273" s="148"/>
      <c r="L273" s="145"/>
      <c r="M273" s="145"/>
      <c r="N273" s="145"/>
      <c r="O273" s="145"/>
      <c r="P273" s="145"/>
      <c r="Q273" s="145"/>
      <c r="W273" s="1"/>
    </row>
    <row r="274" spans="1:23" s="68" customFormat="1">
      <c r="A274" s="348">
        <f t="shared" si="5"/>
        <v>252</v>
      </c>
      <c r="B274" s="378" t="s">
        <v>149</v>
      </c>
      <c r="C274" s="561" t="s">
        <v>1008</v>
      </c>
      <c r="D274" s="464" t="s">
        <v>1067</v>
      </c>
      <c r="E274" s="573" t="s">
        <v>93</v>
      </c>
      <c r="F274" s="354">
        <v>1</v>
      </c>
      <c r="G274" s="378"/>
      <c r="H274" s="145"/>
      <c r="I274" s="148"/>
      <c r="J274" s="148"/>
      <c r="K274" s="148"/>
      <c r="L274" s="145"/>
      <c r="M274" s="145"/>
      <c r="N274" s="145"/>
      <c r="O274" s="145"/>
      <c r="P274" s="145"/>
      <c r="Q274" s="145"/>
      <c r="W274" s="1"/>
    </row>
    <row r="275" spans="1:23" s="68" customFormat="1">
      <c r="A275" s="348">
        <f t="shared" si="5"/>
        <v>253</v>
      </c>
      <c r="B275" s="378" t="s">
        <v>149</v>
      </c>
      <c r="C275" s="561" t="s">
        <v>1008</v>
      </c>
      <c r="D275" s="378" t="s">
        <v>1011</v>
      </c>
      <c r="E275" s="573" t="s">
        <v>93</v>
      </c>
      <c r="F275" s="354">
        <v>1</v>
      </c>
      <c r="G275" s="378"/>
      <c r="H275" s="145"/>
      <c r="I275" s="148"/>
      <c r="J275" s="148"/>
      <c r="K275" s="148"/>
      <c r="L275" s="145"/>
      <c r="M275" s="145"/>
      <c r="N275" s="145"/>
      <c r="O275" s="145"/>
      <c r="P275" s="145"/>
      <c r="Q275" s="145"/>
      <c r="W275" s="1"/>
    </row>
    <row r="276" spans="1:23" s="68" customFormat="1">
      <c r="A276" s="348">
        <f t="shared" si="5"/>
        <v>254</v>
      </c>
      <c r="B276" s="378" t="s">
        <v>149</v>
      </c>
      <c r="C276" s="561" t="s">
        <v>1008</v>
      </c>
      <c r="D276" s="378" t="s">
        <v>1068</v>
      </c>
      <c r="E276" s="573" t="s">
        <v>93</v>
      </c>
      <c r="F276" s="354">
        <v>2</v>
      </c>
      <c r="G276" s="378"/>
      <c r="H276" s="145"/>
      <c r="I276" s="148"/>
      <c r="J276" s="148"/>
      <c r="K276" s="148"/>
      <c r="L276" s="145"/>
      <c r="M276" s="145"/>
      <c r="N276" s="145"/>
      <c r="O276" s="145"/>
      <c r="P276" s="145"/>
      <c r="Q276" s="145"/>
      <c r="W276" s="1"/>
    </row>
    <row r="277" spans="1:23" s="68" customFormat="1">
      <c r="A277" s="348">
        <f t="shared" si="5"/>
        <v>255</v>
      </c>
      <c r="B277" s="378" t="s">
        <v>149</v>
      </c>
      <c r="C277" s="561" t="s">
        <v>1006</v>
      </c>
      <c r="D277" s="378" t="s">
        <v>1007</v>
      </c>
      <c r="E277" s="573" t="s">
        <v>93</v>
      </c>
      <c r="F277" s="354">
        <v>36</v>
      </c>
      <c r="G277" s="378"/>
      <c r="H277" s="145"/>
      <c r="I277" s="148"/>
      <c r="J277" s="148"/>
      <c r="K277" s="148"/>
      <c r="L277" s="145"/>
      <c r="M277" s="145"/>
      <c r="N277" s="145"/>
      <c r="O277" s="145"/>
      <c r="P277" s="145"/>
      <c r="Q277" s="145"/>
      <c r="W277" s="1"/>
    </row>
    <row r="278" spans="1:23" s="68" customFormat="1">
      <c r="A278" s="348">
        <f t="shared" si="5"/>
        <v>256</v>
      </c>
      <c r="B278" s="378" t="s">
        <v>149</v>
      </c>
      <c r="C278" s="377" t="s">
        <v>1013</v>
      </c>
      <c r="D278" s="573" t="s">
        <v>1052</v>
      </c>
      <c r="E278" s="573" t="s">
        <v>77</v>
      </c>
      <c r="F278" s="354">
        <v>1</v>
      </c>
      <c r="G278" s="378"/>
      <c r="H278" s="145"/>
      <c r="I278" s="148"/>
      <c r="J278" s="148"/>
      <c r="K278" s="148"/>
      <c r="L278" s="145"/>
      <c r="M278" s="145"/>
      <c r="N278" s="145"/>
      <c r="O278" s="145"/>
      <c r="P278" s="145"/>
      <c r="Q278" s="145"/>
      <c r="W278" s="1"/>
    </row>
    <row r="279" spans="1:23" s="68" customFormat="1">
      <c r="A279" s="348">
        <f t="shared" si="5"/>
        <v>257</v>
      </c>
      <c r="B279" s="378" t="s">
        <v>149</v>
      </c>
      <c r="C279" s="377" t="s">
        <v>1013</v>
      </c>
      <c r="D279" s="573" t="s">
        <v>1014</v>
      </c>
      <c r="E279" s="573" t="s">
        <v>77</v>
      </c>
      <c r="F279" s="354">
        <v>26</v>
      </c>
      <c r="G279" s="378"/>
      <c r="H279" s="145"/>
      <c r="I279" s="148"/>
      <c r="J279" s="148"/>
      <c r="K279" s="148"/>
      <c r="L279" s="145"/>
      <c r="M279" s="145"/>
      <c r="N279" s="145"/>
      <c r="O279" s="145"/>
      <c r="P279" s="145"/>
      <c r="Q279" s="145"/>
      <c r="W279" s="1"/>
    </row>
    <row r="280" spans="1:23" s="68" customFormat="1">
      <c r="A280" s="348">
        <f t="shared" si="5"/>
        <v>258</v>
      </c>
      <c r="B280" s="378" t="s">
        <v>149</v>
      </c>
      <c r="C280" s="377" t="s">
        <v>1013</v>
      </c>
      <c r="D280" s="573" t="s">
        <v>1015</v>
      </c>
      <c r="E280" s="573" t="s">
        <v>77</v>
      </c>
      <c r="F280" s="583">
        <v>13</v>
      </c>
      <c r="G280" s="574"/>
      <c r="H280" s="145"/>
      <c r="I280" s="148"/>
      <c r="J280" s="148"/>
      <c r="K280" s="148"/>
      <c r="L280" s="145"/>
      <c r="M280" s="145"/>
      <c r="N280" s="145"/>
      <c r="O280" s="145"/>
      <c r="P280" s="145"/>
      <c r="Q280" s="145"/>
      <c r="W280" s="1"/>
    </row>
    <row r="281" spans="1:23" s="68" customFormat="1">
      <c r="A281" s="348">
        <f t="shared" si="5"/>
        <v>259</v>
      </c>
      <c r="B281" s="378" t="s">
        <v>149</v>
      </c>
      <c r="C281" s="377" t="s">
        <v>1013</v>
      </c>
      <c r="D281" s="573" t="s">
        <v>1016</v>
      </c>
      <c r="E281" s="573" t="s">
        <v>77</v>
      </c>
      <c r="F281" s="583">
        <v>6</v>
      </c>
      <c r="G281" s="574"/>
      <c r="H281" s="145"/>
      <c r="I281" s="148"/>
      <c r="J281" s="148"/>
      <c r="K281" s="148"/>
      <c r="L281" s="145"/>
      <c r="M281" s="145"/>
      <c r="N281" s="145"/>
      <c r="O281" s="145"/>
      <c r="P281" s="145"/>
      <c r="Q281" s="145"/>
      <c r="W281" s="1"/>
    </row>
    <row r="282" spans="1:23" s="68" customFormat="1">
      <c r="A282" s="348">
        <f t="shared" si="5"/>
        <v>260</v>
      </c>
      <c r="B282" s="378" t="s">
        <v>149</v>
      </c>
      <c r="C282" s="377" t="s">
        <v>1013</v>
      </c>
      <c r="D282" s="573" t="s">
        <v>1017</v>
      </c>
      <c r="E282" s="573" t="s">
        <v>77</v>
      </c>
      <c r="F282" s="583">
        <v>5</v>
      </c>
      <c r="G282" s="574"/>
      <c r="H282" s="145"/>
      <c r="I282" s="148"/>
      <c r="J282" s="148"/>
      <c r="K282" s="148"/>
      <c r="L282" s="145"/>
      <c r="M282" s="145"/>
      <c r="N282" s="145"/>
      <c r="O282" s="145"/>
      <c r="P282" s="145"/>
      <c r="Q282" s="145"/>
      <c r="W282" s="1"/>
    </row>
    <row r="283" spans="1:23" s="68" customFormat="1">
      <c r="A283" s="348">
        <f t="shared" si="5"/>
        <v>261</v>
      </c>
      <c r="B283" s="378" t="s">
        <v>149</v>
      </c>
      <c r="C283" s="377" t="s">
        <v>1013</v>
      </c>
      <c r="D283" s="566" t="s">
        <v>1069</v>
      </c>
      <c r="E283" s="573" t="s">
        <v>77</v>
      </c>
      <c r="F283" s="379">
        <v>26</v>
      </c>
      <c r="G283" s="464"/>
      <c r="H283" s="145"/>
      <c r="I283" s="148"/>
      <c r="J283" s="148"/>
      <c r="K283" s="148"/>
      <c r="L283" s="145"/>
      <c r="M283" s="145"/>
      <c r="N283" s="145"/>
      <c r="O283" s="145"/>
      <c r="P283" s="145"/>
      <c r="Q283" s="145"/>
      <c r="W283" s="1"/>
    </row>
    <row r="284" spans="1:23" s="68" customFormat="1">
      <c r="A284" s="348">
        <f t="shared" si="5"/>
        <v>262</v>
      </c>
      <c r="B284" s="378" t="s">
        <v>149</v>
      </c>
      <c r="C284" s="377" t="s">
        <v>1013</v>
      </c>
      <c r="D284" s="566" t="s">
        <v>1018</v>
      </c>
      <c r="E284" s="573" t="s">
        <v>77</v>
      </c>
      <c r="F284" s="379">
        <v>3</v>
      </c>
      <c r="G284" s="464"/>
      <c r="H284" s="145"/>
      <c r="I284" s="148"/>
      <c r="J284" s="148"/>
      <c r="K284" s="148"/>
      <c r="L284" s="145"/>
      <c r="M284" s="145"/>
      <c r="N284" s="145"/>
      <c r="O284" s="145"/>
      <c r="P284" s="145"/>
      <c r="Q284" s="145"/>
      <c r="W284" s="1"/>
    </row>
    <row r="285" spans="1:23" s="68" customFormat="1">
      <c r="A285" s="348">
        <f t="shared" si="5"/>
        <v>263</v>
      </c>
      <c r="B285" s="378" t="s">
        <v>149</v>
      </c>
      <c r="C285" s="377" t="s">
        <v>1013</v>
      </c>
      <c r="D285" s="566" t="s">
        <v>1019</v>
      </c>
      <c r="E285" s="573" t="s">
        <v>77</v>
      </c>
      <c r="F285" s="379">
        <v>3</v>
      </c>
      <c r="G285" s="464"/>
      <c r="H285" s="145"/>
      <c r="I285" s="148"/>
      <c r="J285" s="148"/>
      <c r="K285" s="148"/>
      <c r="L285" s="145"/>
      <c r="M285" s="145"/>
      <c r="N285" s="145"/>
      <c r="O285" s="145"/>
      <c r="P285" s="145"/>
      <c r="Q285" s="145"/>
      <c r="W285" s="1"/>
    </row>
    <row r="286" spans="1:23" s="68" customFormat="1">
      <c r="A286" s="348">
        <f t="shared" si="5"/>
        <v>264</v>
      </c>
      <c r="B286" s="378" t="s">
        <v>149</v>
      </c>
      <c r="C286" s="377" t="s">
        <v>1013</v>
      </c>
      <c r="D286" s="566" t="s">
        <v>1053</v>
      </c>
      <c r="E286" s="573" t="s">
        <v>77</v>
      </c>
      <c r="F286" s="379">
        <v>1</v>
      </c>
      <c r="G286" s="464"/>
      <c r="H286" s="145"/>
      <c r="I286" s="148"/>
      <c r="J286" s="148"/>
      <c r="K286" s="148"/>
      <c r="L286" s="145"/>
      <c r="M286" s="145"/>
      <c r="N286" s="145"/>
      <c r="O286" s="145"/>
      <c r="P286" s="145"/>
      <c r="Q286" s="145"/>
      <c r="W286" s="1"/>
    </row>
    <row r="287" spans="1:23" s="68" customFormat="1">
      <c r="A287" s="348">
        <f t="shared" si="5"/>
        <v>265</v>
      </c>
      <c r="B287" s="378" t="s">
        <v>149</v>
      </c>
      <c r="C287" s="377" t="s">
        <v>1013</v>
      </c>
      <c r="D287" s="566" t="s">
        <v>1020</v>
      </c>
      <c r="E287" s="573" t="s">
        <v>77</v>
      </c>
      <c r="F287" s="379">
        <v>9</v>
      </c>
      <c r="G287" s="464"/>
      <c r="H287" s="145"/>
      <c r="I287" s="148"/>
      <c r="J287" s="148"/>
      <c r="K287" s="148"/>
      <c r="L287" s="145"/>
      <c r="M287" s="145"/>
      <c r="N287" s="145"/>
      <c r="O287" s="145"/>
      <c r="P287" s="145"/>
      <c r="Q287" s="145"/>
      <c r="W287" s="1"/>
    </row>
    <row r="288" spans="1:23" s="68" customFormat="1">
      <c r="A288" s="348">
        <f t="shared" si="5"/>
        <v>266</v>
      </c>
      <c r="B288" s="378" t="s">
        <v>149</v>
      </c>
      <c r="C288" s="377" t="s">
        <v>1013</v>
      </c>
      <c r="D288" s="566" t="s">
        <v>1070</v>
      </c>
      <c r="E288" s="573" t="s">
        <v>77</v>
      </c>
      <c r="F288" s="379">
        <v>1</v>
      </c>
      <c r="G288" s="464"/>
      <c r="H288" s="145"/>
      <c r="I288" s="148"/>
      <c r="J288" s="148"/>
      <c r="K288" s="148"/>
      <c r="L288" s="145"/>
      <c r="M288" s="145"/>
      <c r="N288" s="145"/>
      <c r="O288" s="145"/>
      <c r="P288" s="145"/>
      <c r="Q288" s="145"/>
      <c r="W288" s="1"/>
    </row>
    <row r="289" spans="1:23" s="68" customFormat="1">
      <c r="A289" s="348">
        <f t="shared" si="5"/>
        <v>267</v>
      </c>
      <c r="B289" s="378" t="s">
        <v>149</v>
      </c>
      <c r="C289" s="377" t="s">
        <v>1013</v>
      </c>
      <c r="D289" s="566" t="s">
        <v>1071</v>
      </c>
      <c r="E289" s="573" t="s">
        <v>77</v>
      </c>
      <c r="F289" s="379">
        <v>1</v>
      </c>
      <c r="G289" s="464"/>
      <c r="H289" s="145"/>
      <c r="I289" s="148"/>
      <c r="J289" s="148"/>
      <c r="K289" s="148"/>
      <c r="L289" s="145"/>
      <c r="M289" s="145"/>
      <c r="N289" s="145"/>
      <c r="O289" s="145"/>
      <c r="P289" s="145"/>
      <c r="Q289" s="145"/>
      <c r="W289" s="1"/>
    </row>
    <row r="290" spans="1:23" s="68" customFormat="1">
      <c r="A290" s="348">
        <f t="shared" si="5"/>
        <v>268</v>
      </c>
      <c r="B290" s="378" t="s">
        <v>149</v>
      </c>
      <c r="C290" s="377" t="s">
        <v>1013</v>
      </c>
      <c r="D290" s="566" t="s">
        <v>1021</v>
      </c>
      <c r="E290" s="573" t="s">
        <v>77</v>
      </c>
      <c r="F290" s="379">
        <v>4</v>
      </c>
      <c r="G290" s="464"/>
      <c r="H290" s="145"/>
      <c r="I290" s="148"/>
      <c r="J290" s="148"/>
      <c r="K290" s="148"/>
      <c r="L290" s="145"/>
      <c r="M290" s="145"/>
      <c r="N290" s="145"/>
      <c r="O290" s="145"/>
      <c r="P290" s="145"/>
      <c r="Q290" s="145"/>
      <c r="W290" s="1"/>
    </row>
    <row r="291" spans="1:23" s="68" customFormat="1">
      <c r="A291" s="348">
        <f t="shared" si="5"/>
        <v>269</v>
      </c>
      <c r="B291" s="378" t="s">
        <v>149</v>
      </c>
      <c r="C291" s="377" t="s">
        <v>1013</v>
      </c>
      <c r="D291" s="566" t="s">
        <v>1022</v>
      </c>
      <c r="E291" s="573" t="s">
        <v>77</v>
      </c>
      <c r="F291" s="379">
        <v>1</v>
      </c>
      <c r="G291" s="464"/>
      <c r="H291" s="145"/>
      <c r="I291" s="148"/>
      <c r="J291" s="148"/>
      <c r="K291" s="148"/>
      <c r="L291" s="145"/>
      <c r="M291" s="145"/>
      <c r="N291" s="145"/>
      <c r="O291" s="145"/>
      <c r="P291" s="145"/>
      <c r="Q291" s="145"/>
      <c r="W291" s="1"/>
    </row>
    <row r="292" spans="1:23" s="68" customFormat="1">
      <c r="A292" s="348">
        <f t="shared" si="5"/>
        <v>270</v>
      </c>
      <c r="B292" s="378" t="s">
        <v>149</v>
      </c>
      <c r="C292" s="377" t="s">
        <v>1013</v>
      </c>
      <c r="D292" s="566" t="s">
        <v>1072</v>
      </c>
      <c r="E292" s="573" t="s">
        <v>77</v>
      </c>
      <c r="F292" s="379">
        <v>2</v>
      </c>
      <c r="G292" s="464"/>
      <c r="H292" s="145"/>
      <c r="I292" s="148"/>
      <c r="J292" s="148"/>
      <c r="K292" s="148"/>
      <c r="L292" s="145"/>
      <c r="M292" s="145"/>
      <c r="N292" s="145"/>
      <c r="O292" s="145"/>
      <c r="P292" s="145"/>
      <c r="Q292" s="145"/>
      <c r="W292" s="1"/>
    </row>
    <row r="293" spans="1:23" s="68" customFormat="1">
      <c r="A293" s="348">
        <f t="shared" si="5"/>
        <v>271</v>
      </c>
      <c r="B293" s="378" t="s">
        <v>149</v>
      </c>
      <c r="C293" s="377" t="s">
        <v>1013</v>
      </c>
      <c r="D293" s="566" t="s">
        <v>1073</v>
      </c>
      <c r="E293" s="573" t="s">
        <v>77</v>
      </c>
      <c r="F293" s="379">
        <v>9</v>
      </c>
      <c r="G293" s="464"/>
      <c r="H293" s="145"/>
      <c r="I293" s="148"/>
      <c r="J293" s="148"/>
      <c r="K293" s="148"/>
      <c r="L293" s="145"/>
      <c r="M293" s="145"/>
      <c r="N293" s="145"/>
      <c r="O293" s="145"/>
      <c r="P293" s="145"/>
      <c r="Q293" s="145"/>
      <c r="W293" s="1"/>
    </row>
    <row r="294" spans="1:23" s="68" customFormat="1">
      <c r="A294" s="348">
        <f t="shared" si="5"/>
        <v>272</v>
      </c>
      <c r="B294" s="378" t="s">
        <v>149</v>
      </c>
      <c r="C294" s="377" t="s">
        <v>1013</v>
      </c>
      <c r="D294" s="566" t="s">
        <v>1074</v>
      </c>
      <c r="E294" s="573" t="s">
        <v>77</v>
      </c>
      <c r="F294" s="379">
        <v>18</v>
      </c>
      <c r="G294" s="464"/>
      <c r="H294" s="145"/>
      <c r="I294" s="148"/>
      <c r="J294" s="148"/>
      <c r="K294" s="148"/>
      <c r="L294" s="145"/>
      <c r="M294" s="145"/>
      <c r="N294" s="145"/>
      <c r="O294" s="145"/>
      <c r="P294" s="145"/>
      <c r="Q294" s="145"/>
      <c r="W294" s="1"/>
    </row>
    <row r="295" spans="1:23" s="68" customFormat="1">
      <c r="A295" s="348">
        <f t="shared" si="5"/>
        <v>273</v>
      </c>
      <c r="B295" s="378" t="s">
        <v>149</v>
      </c>
      <c r="C295" s="377" t="s">
        <v>1013</v>
      </c>
      <c r="D295" s="566" t="s">
        <v>1057</v>
      </c>
      <c r="E295" s="573" t="s">
        <v>77</v>
      </c>
      <c r="F295" s="379">
        <v>3</v>
      </c>
      <c r="G295" s="464"/>
      <c r="H295" s="145"/>
      <c r="I295" s="148"/>
      <c r="J295" s="148"/>
      <c r="K295" s="148"/>
      <c r="L295" s="145"/>
      <c r="M295" s="145"/>
      <c r="N295" s="145"/>
      <c r="O295" s="145"/>
      <c r="P295" s="145"/>
      <c r="Q295" s="145"/>
      <c r="W295" s="1"/>
    </row>
    <row r="296" spans="1:23" s="68" customFormat="1">
      <c r="A296" s="348">
        <f t="shared" si="5"/>
        <v>274</v>
      </c>
      <c r="B296" s="378" t="s">
        <v>149</v>
      </c>
      <c r="C296" s="377" t="s">
        <v>1013</v>
      </c>
      <c r="D296" s="566" t="s">
        <v>1075</v>
      </c>
      <c r="E296" s="573" t="s">
        <v>77</v>
      </c>
      <c r="F296" s="379">
        <v>10</v>
      </c>
      <c r="G296" s="464"/>
      <c r="H296" s="145"/>
      <c r="I296" s="148"/>
      <c r="J296" s="148"/>
      <c r="K296" s="148"/>
      <c r="L296" s="145"/>
      <c r="M296" s="145"/>
      <c r="N296" s="145"/>
      <c r="O296" s="145"/>
      <c r="P296" s="145"/>
      <c r="Q296" s="145"/>
      <c r="W296" s="1"/>
    </row>
    <row r="297" spans="1:23" s="68" customFormat="1">
      <c r="A297" s="348">
        <f t="shared" si="5"/>
        <v>275</v>
      </c>
      <c r="B297" s="378" t="s">
        <v>149</v>
      </c>
      <c r="C297" s="377" t="s">
        <v>1013</v>
      </c>
      <c r="D297" s="566" t="s">
        <v>1026</v>
      </c>
      <c r="E297" s="573" t="s">
        <v>77</v>
      </c>
      <c r="F297" s="379">
        <v>10</v>
      </c>
      <c r="G297" s="464"/>
      <c r="H297" s="145"/>
      <c r="I297" s="148"/>
      <c r="J297" s="148"/>
      <c r="K297" s="148"/>
      <c r="L297" s="145"/>
      <c r="M297" s="145"/>
      <c r="N297" s="145"/>
      <c r="O297" s="145"/>
      <c r="P297" s="145"/>
      <c r="Q297" s="145"/>
      <c r="W297" s="1"/>
    </row>
    <row r="298" spans="1:23" s="68" customFormat="1">
      <c r="A298" s="348">
        <f t="shared" si="5"/>
        <v>276</v>
      </c>
      <c r="B298" s="378" t="s">
        <v>149</v>
      </c>
      <c r="C298" s="377" t="s">
        <v>1013</v>
      </c>
      <c r="D298" s="566" t="s">
        <v>1076</v>
      </c>
      <c r="E298" s="573" t="s">
        <v>77</v>
      </c>
      <c r="F298" s="379">
        <v>4</v>
      </c>
      <c r="G298" s="464"/>
      <c r="H298" s="145"/>
      <c r="I298" s="148"/>
      <c r="J298" s="148"/>
      <c r="K298" s="148"/>
      <c r="L298" s="145"/>
      <c r="M298" s="145"/>
      <c r="N298" s="145"/>
      <c r="O298" s="145"/>
      <c r="P298" s="145"/>
      <c r="Q298" s="145"/>
      <c r="W298" s="1"/>
    </row>
    <row r="299" spans="1:23" s="68" customFormat="1">
      <c r="A299" s="348">
        <f t="shared" si="5"/>
        <v>277</v>
      </c>
      <c r="B299" s="378" t="s">
        <v>149</v>
      </c>
      <c r="C299" s="377" t="s">
        <v>1013</v>
      </c>
      <c r="D299" s="566" t="s">
        <v>1077</v>
      </c>
      <c r="E299" s="573" t="s">
        <v>77</v>
      </c>
      <c r="F299" s="379">
        <v>5</v>
      </c>
      <c r="G299" s="464"/>
      <c r="H299" s="145"/>
      <c r="I299" s="148"/>
      <c r="J299" s="148"/>
      <c r="K299" s="148"/>
      <c r="L299" s="145"/>
      <c r="M299" s="145"/>
      <c r="N299" s="145"/>
      <c r="O299" s="145"/>
      <c r="P299" s="145"/>
      <c r="Q299" s="145"/>
      <c r="W299" s="1"/>
    </row>
    <row r="300" spans="1:23" s="68" customFormat="1">
      <c r="A300" s="348">
        <f t="shared" si="5"/>
        <v>278</v>
      </c>
      <c r="B300" s="378" t="s">
        <v>149</v>
      </c>
      <c r="C300" s="377" t="s">
        <v>1013</v>
      </c>
      <c r="D300" s="566" t="s">
        <v>1028</v>
      </c>
      <c r="E300" s="573" t="s">
        <v>77</v>
      </c>
      <c r="F300" s="379">
        <v>1</v>
      </c>
      <c r="G300" s="464"/>
      <c r="H300" s="145"/>
      <c r="I300" s="148"/>
      <c r="J300" s="148"/>
      <c r="K300" s="148"/>
      <c r="L300" s="145"/>
      <c r="M300" s="145"/>
      <c r="N300" s="145"/>
      <c r="O300" s="145"/>
      <c r="P300" s="145"/>
      <c r="Q300" s="145"/>
      <c r="W300" s="1"/>
    </row>
    <row r="301" spans="1:23" s="68" customFormat="1">
      <c r="A301" s="348">
        <f t="shared" si="5"/>
        <v>279</v>
      </c>
      <c r="B301" s="378" t="s">
        <v>149</v>
      </c>
      <c r="C301" s="377" t="s">
        <v>1013</v>
      </c>
      <c r="D301" s="566" t="s">
        <v>1078</v>
      </c>
      <c r="E301" s="573" t="s">
        <v>77</v>
      </c>
      <c r="F301" s="379">
        <v>1</v>
      </c>
      <c r="G301" s="464"/>
      <c r="H301" s="145"/>
      <c r="I301" s="148"/>
      <c r="J301" s="148"/>
      <c r="K301" s="148"/>
      <c r="L301" s="145"/>
      <c r="M301" s="145"/>
      <c r="N301" s="145"/>
      <c r="O301" s="145"/>
      <c r="P301" s="145"/>
      <c r="Q301" s="145"/>
      <c r="W301" s="1"/>
    </row>
    <row r="302" spans="1:23" s="68" customFormat="1" ht="24">
      <c r="A302" s="348">
        <f t="shared" si="5"/>
        <v>280</v>
      </c>
      <c r="B302" s="378" t="s">
        <v>149</v>
      </c>
      <c r="C302" s="377" t="s">
        <v>1029</v>
      </c>
      <c r="D302" s="555" t="s">
        <v>1030</v>
      </c>
      <c r="E302" s="378" t="s">
        <v>1781</v>
      </c>
      <c r="F302" s="354">
        <v>80</v>
      </c>
      <c r="G302" s="378"/>
      <c r="H302" s="145"/>
      <c r="I302" s="148"/>
      <c r="J302" s="148"/>
      <c r="K302" s="148"/>
      <c r="L302" s="145"/>
      <c r="M302" s="145"/>
      <c r="N302" s="145"/>
      <c r="O302" s="145"/>
      <c r="P302" s="145"/>
      <c r="Q302" s="145"/>
      <c r="W302" s="1"/>
    </row>
    <row r="303" spans="1:23" s="68" customFormat="1" ht="24">
      <c r="A303" s="348">
        <f t="shared" si="5"/>
        <v>281</v>
      </c>
      <c r="B303" s="378" t="s">
        <v>149</v>
      </c>
      <c r="C303" s="377" t="s">
        <v>1033</v>
      </c>
      <c r="D303" s="378" t="s">
        <v>1032</v>
      </c>
      <c r="E303" s="378" t="s">
        <v>1781</v>
      </c>
      <c r="F303" s="354">
        <v>50</v>
      </c>
      <c r="G303" s="378"/>
      <c r="H303" s="145"/>
      <c r="I303" s="148"/>
      <c r="J303" s="148"/>
      <c r="K303" s="148"/>
      <c r="L303" s="145"/>
      <c r="M303" s="145"/>
      <c r="N303" s="145"/>
      <c r="O303" s="145"/>
      <c r="P303" s="145"/>
      <c r="Q303" s="145"/>
      <c r="W303" s="1"/>
    </row>
    <row r="304" spans="1:23" s="68" customFormat="1">
      <c r="A304" s="348">
        <f t="shared" si="5"/>
        <v>282</v>
      </c>
      <c r="B304" s="378" t="s">
        <v>149</v>
      </c>
      <c r="C304" s="377" t="s">
        <v>1034</v>
      </c>
      <c r="D304" s="378"/>
      <c r="E304" s="434" t="s">
        <v>100</v>
      </c>
      <c r="F304" s="379">
        <v>1</v>
      </c>
      <c r="G304" s="557"/>
      <c r="H304" s="145"/>
      <c r="I304" s="148"/>
      <c r="J304" s="148"/>
      <c r="K304" s="148"/>
      <c r="L304" s="145"/>
      <c r="M304" s="145"/>
      <c r="N304" s="145"/>
      <c r="O304" s="145"/>
      <c r="P304" s="145"/>
      <c r="Q304" s="145"/>
      <c r="W304" s="1"/>
    </row>
    <row r="305" spans="1:23" s="68" customFormat="1">
      <c r="A305" s="348">
        <f t="shared" si="5"/>
        <v>283</v>
      </c>
      <c r="B305" s="378" t="s">
        <v>149</v>
      </c>
      <c r="C305" s="561" t="s">
        <v>1035</v>
      </c>
      <c r="D305" s="434"/>
      <c r="E305" s="434" t="s">
        <v>100</v>
      </c>
      <c r="F305" s="379">
        <v>1</v>
      </c>
      <c r="G305" s="557"/>
      <c r="H305" s="145"/>
      <c r="I305" s="148"/>
      <c r="J305" s="148"/>
      <c r="K305" s="148"/>
      <c r="L305" s="145"/>
      <c r="M305" s="145"/>
      <c r="N305" s="145"/>
      <c r="O305" s="145"/>
      <c r="P305" s="145"/>
      <c r="Q305" s="145"/>
      <c r="W305" s="1"/>
    </row>
    <row r="306" spans="1:23" s="68" customFormat="1">
      <c r="A306" s="348">
        <f t="shared" si="5"/>
        <v>284</v>
      </c>
      <c r="B306" s="378" t="s">
        <v>149</v>
      </c>
      <c r="C306" s="561" t="s">
        <v>1036</v>
      </c>
      <c r="D306" s="434"/>
      <c r="E306" s="434" t="s">
        <v>100</v>
      </c>
      <c r="F306" s="379">
        <v>1</v>
      </c>
      <c r="G306" s="557"/>
      <c r="H306" s="145"/>
      <c r="I306" s="148"/>
      <c r="J306" s="148"/>
      <c r="K306" s="148"/>
      <c r="L306" s="145"/>
      <c r="M306" s="145"/>
      <c r="N306" s="145"/>
      <c r="O306" s="145"/>
      <c r="P306" s="145"/>
      <c r="Q306" s="145"/>
      <c r="W306" s="1"/>
    </row>
    <row r="307" spans="1:23" s="68" customFormat="1">
      <c r="A307" s="348">
        <f t="shared" si="5"/>
        <v>285</v>
      </c>
      <c r="B307" s="378" t="s">
        <v>149</v>
      </c>
      <c r="C307" s="561" t="s">
        <v>935</v>
      </c>
      <c r="D307" s="434"/>
      <c r="E307" s="434" t="s">
        <v>100</v>
      </c>
      <c r="F307" s="379">
        <v>1</v>
      </c>
      <c r="G307" s="557"/>
      <c r="H307" s="145"/>
      <c r="I307" s="148"/>
      <c r="J307" s="148"/>
      <c r="K307" s="148"/>
      <c r="L307" s="145"/>
      <c r="M307" s="145"/>
      <c r="N307" s="145"/>
      <c r="O307" s="145"/>
      <c r="P307" s="145"/>
      <c r="Q307" s="145"/>
      <c r="W307" s="1"/>
    </row>
    <row r="308" spans="1:23" s="68" customFormat="1">
      <c r="A308" s="348">
        <f t="shared" si="5"/>
        <v>286</v>
      </c>
      <c r="B308" s="378" t="s">
        <v>149</v>
      </c>
      <c r="C308" s="561" t="s">
        <v>936</v>
      </c>
      <c r="D308" s="434"/>
      <c r="E308" s="434" t="s">
        <v>100</v>
      </c>
      <c r="F308" s="379">
        <v>1</v>
      </c>
      <c r="G308" s="557"/>
      <c r="H308" s="145"/>
      <c r="I308" s="148"/>
      <c r="J308" s="148"/>
      <c r="K308" s="148"/>
      <c r="L308" s="145"/>
      <c r="M308" s="145"/>
      <c r="N308" s="145"/>
      <c r="O308" s="145"/>
      <c r="P308" s="145"/>
      <c r="Q308" s="145"/>
      <c r="W308" s="1"/>
    </row>
    <row r="309" spans="1:23" s="68" customFormat="1">
      <c r="A309" s="348">
        <f t="shared" si="5"/>
        <v>287</v>
      </c>
      <c r="B309" s="378" t="s">
        <v>149</v>
      </c>
      <c r="C309" s="561" t="s">
        <v>1037</v>
      </c>
      <c r="D309" s="434"/>
      <c r="E309" s="434" t="s">
        <v>100</v>
      </c>
      <c r="F309" s="379">
        <v>1</v>
      </c>
      <c r="G309" s="557"/>
      <c r="H309" s="145"/>
      <c r="I309" s="148"/>
      <c r="J309" s="148"/>
      <c r="K309" s="148"/>
      <c r="L309" s="145"/>
      <c r="M309" s="145"/>
      <c r="N309" s="145"/>
      <c r="O309" s="145"/>
      <c r="P309" s="145"/>
      <c r="Q309" s="145"/>
      <c r="W309" s="1"/>
    </row>
    <row r="310" spans="1:23" s="68" customFormat="1">
      <c r="A310" s="348">
        <f t="shared" si="5"/>
        <v>288</v>
      </c>
      <c r="B310" s="378" t="s">
        <v>149</v>
      </c>
      <c r="C310" s="575" t="s">
        <v>982</v>
      </c>
      <c r="D310" s="378"/>
      <c r="E310" s="573" t="s">
        <v>100</v>
      </c>
      <c r="F310" s="354">
        <v>1</v>
      </c>
      <c r="G310" s="435"/>
      <c r="H310" s="145"/>
      <c r="I310" s="148"/>
      <c r="J310" s="148"/>
      <c r="K310" s="148"/>
      <c r="L310" s="145"/>
      <c r="M310" s="145"/>
      <c r="N310" s="145"/>
      <c r="O310" s="145"/>
      <c r="P310" s="145"/>
      <c r="Q310" s="145"/>
      <c r="W310" s="1"/>
    </row>
    <row r="311" spans="1:23" s="68" customFormat="1">
      <c r="A311" s="380">
        <f t="shared" si="5"/>
        <v>289</v>
      </c>
      <c r="B311" s="382" t="s">
        <v>149</v>
      </c>
      <c r="C311" s="381" t="s">
        <v>981</v>
      </c>
      <c r="D311" s="492"/>
      <c r="E311" s="492" t="s">
        <v>100</v>
      </c>
      <c r="F311" s="383">
        <v>1</v>
      </c>
      <c r="G311" s="564"/>
      <c r="H311" s="150"/>
      <c r="I311" s="151"/>
      <c r="J311" s="151"/>
      <c r="K311" s="151"/>
      <c r="L311" s="150"/>
      <c r="M311" s="150"/>
      <c r="N311" s="150"/>
      <c r="O311" s="150"/>
      <c r="P311" s="150"/>
      <c r="Q311" s="150"/>
      <c r="W311" s="1"/>
    </row>
    <row r="312" spans="1:23" s="68" customFormat="1">
      <c r="A312" s="370"/>
      <c r="B312" s="500"/>
      <c r="C312" s="371" t="s">
        <v>1079</v>
      </c>
      <c r="D312" s="547"/>
      <c r="E312" s="547"/>
      <c r="F312" s="580"/>
      <c r="G312" s="547"/>
      <c r="H312" s="135"/>
      <c r="I312" s="152"/>
      <c r="J312" s="152"/>
      <c r="K312" s="152"/>
      <c r="L312" s="135"/>
      <c r="M312" s="135"/>
      <c r="N312" s="135"/>
      <c r="O312" s="135"/>
      <c r="P312" s="135"/>
      <c r="Q312" s="135"/>
      <c r="W312" s="1"/>
    </row>
    <row r="313" spans="1:23" s="68" customFormat="1" ht="60">
      <c r="A313" s="385">
        <f>A311+1</f>
        <v>290</v>
      </c>
      <c r="B313" s="387" t="s">
        <v>149</v>
      </c>
      <c r="C313" s="551" t="s">
        <v>1080</v>
      </c>
      <c r="D313" s="387" t="s">
        <v>1081</v>
      </c>
      <c r="E313" s="571" t="s">
        <v>90</v>
      </c>
      <c r="F313" s="433">
        <v>1</v>
      </c>
      <c r="G313" s="572"/>
      <c r="H313" s="146"/>
      <c r="I313" s="149"/>
      <c r="J313" s="149"/>
      <c r="K313" s="149"/>
      <c r="L313" s="146"/>
      <c r="M313" s="146"/>
      <c r="N313" s="146"/>
      <c r="O313" s="146"/>
      <c r="P313" s="146"/>
      <c r="Q313" s="146"/>
      <c r="W313" s="1"/>
    </row>
    <row r="314" spans="1:23" s="68" customFormat="1" ht="24">
      <c r="A314" s="348">
        <f>A313+1</f>
        <v>291</v>
      </c>
      <c r="B314" s="378" t="s">
        <v>149</v>
      </c>
      <c r="C314" s="377" t="s">
        <v>1040</v>
      </c>
      <c r="D314" s="378" t="s">
        <v>1062</v>
      </c>
      <c r="E314" s="573" t="s">
        <v>93</v>
      </c>
      <c r="F314" s="354">
        <v>1</v>
      </c>
      <c r="G314" s="378"/>
      <c r="H314" s="145"/>
      <c r="I314" s="148"/>
      <c r="J314" s="148"/>
      <c r="K314" s="148"/>
      <c r="L314" s="145"/>
      <c r="M314" s="145"/>
      <c r="N314" s="145"/>
      <c r="O314" s="145"/>
      <c r="P314" s="145"/>
      <c r="Q314" s="145"/>
      <c r="W314" s="1"/>
    </row>
    <row r="315" spans="1:23" s="68" customFormat="1" ht="36">
      <c r="A315" s="348">
        <f t="shared" ref="A315:A378" si="6">A314+1</f>
        <v>292</v>
      </c>
      <c r="B315" s="378" t="s">
        <v>149</v>
      </c>
      <c r="C315" s="377" t="s">
        <v>989</v>
      </c>
      <c r="D315" s="378" t="s">
        <v>1082</v>
      </c>
      <c r="E315" s="573" t="s">
        <v>93</v>
      </c>
      <c r="F315" s="354">
        <v>2</v>
      </c>
      <c r="G315" s="378"/>
      <c r="H315" s="145"/>
      <c r="I315" s="148"/>
      <c r="J315" s="148"/>
      <c r="K315" s="148"/>
      <c r="L315" s="145"/>
      <c r="M315" s="145"/>
      <c r="N315" s="145"/>
      <c r="O315" s="145"/>
      <c r="P315" s="145"/>
      <c r="Q315" s="145"/>
      <c r="W315" s="1"/>
    </row>
    <row r="316" spans="1:23" s="68" customFormat="1">
      <c r="A316" s="348">
        <f t="shared" si="6"/>
        <v>293</v>
      </c>
      <c r="B316" s="378" t="s">
        <v>149</v>
      </c>
      <c r="C316" s="377" t="s">
        <v>992</v>
      </c>
      <c r="D316" s="378" t="s">
        <v>1044</v>
      </c>
      <c r="E316" s="573" t="s">
        <v>93</v>
      </c>
      <c r="F316" s="582">
        <v>2</v>
      </c>
      <c r="G316" s="566"/>
      <c r="H316" s="145"/>
      <c r="I316" s="148"/>
      <c r="J316" s="148"/>
      <c r="K316" s="148"/>
      <c r="L316" s="145"/>
      <c r="M316" s="145"/>
      <c r="N316" s="145"/>
      <c r="O316" s="145"/>
      <c r="P316" s="145"/>
      <c r="Q316" s="145"/>
      <c r="W316" s="1"/>
    </row>
    <row r="317" spans="1:23" s="68" customFormat="1">
      <c r="A317" s="348">
        <f t="shared" si="6"/>
        <v>294</v>
      </c>
      <c r="B317" s="378" t="s">
        <v>149</v>
      </c>
      <c r="C317" s="377" t="s">
        <v>992</v>
      </c>
      <c r="D317" s="378" t="s">
        <v>993</v>
      </c>
      <c r="E317" s="573" t="s">
        <v>93</v>
      </c>
      <c r="F317" s="582">
        <v>7</v>
      </c>
      <c r="G317" s="566"/>
      <c r="H317" s="145"/>
      <c r="I317" s="148"/>
      <c r="J317" s="148"/>
      <c r="K317" s="148"/>
      <c r="L317" s="145"/>
      <c r="M317" s="145"/>
      <c r="N317" s="145"/>
      <c r="O317" s="145"/>
      <c r="P317" s="145"/>
      <c r="Q317" s="145"/>
      <c r="W317" s="1"/>
    </row>
    <row r="318" spans="1:23" s="68" customFormat="1">
      <c r="A318" s="348">
        <f t="shared" si="6"/>
        <v>295</v>
      </c>
      <c r="B318" s="378" t="s">
        <v>149</v>
      </c>
      <c r="C318" s="377" t="s">
        <v>992</v>
      </c>
      <c r="D318" s="378" t="s">
        <v>994</v>
      </c>
      <c r="E318" s="573" t="s">
        <v>93</v>
      </c>
      <c r="F318" s="582">
        <v>11</v>
      </c>
      <c r="G318" s="566"/>
      <c r="H318" s="145"/>
      <c r="I318" s="148"/>
      <c r="J318" s="148"/>
      <c r="K318" s="148"/>
      <c r="L318" s="145"/>
      <c r="M318" s="145"/>
      <c r="N318" s="145"/>
      <c r="O318" s="145"/>
      <c r="P318" s="145"/>
      <c r="Q318" s="145"/>
      <c r="W318" s="1"/>
    </row>
    <row r="319" spans="1:23" s="68" customFormat="1">
      <c r="A319" s="348">
        <f t="shared" si="6"/>
        <v>296</v>
      </c>
      <c r="B319" s="378" t="s">
        <v>149</v>
      </c>
      <c r="C319" s="377" t="s">
        <v>992</v>
      </c>
      <c r="D319" s="378" t="s">
        <v>1045</v>
      </c>
      <c r="E319" s="573" t="s">
        <v>93</v>
      </c>
      <c r="F319" s="582">
        <v>4</v>
      </c>
      <c r="G319" s="566"/>
      <c r="H319" s="145"/>
      <c r="I319" s="148"/>
      <c r="J319" s="148"/>
      <c r="K319" s="148"/>
      <c r="L319" s="145"/>
      <c r="M319" s="145"/>
      <c r="N319" s="145"/>
      <c r="O319" s="145"/>
      <c r="P319" s="145"/>
      <c r="Q319" s="145"/>
      <c r="W319" s="1"/>
    </row>
    <row r="320" spans="1:23" s="68" customFormat="1">
      <c r="A320" s="348">
        <f t="shared" si="6"/>
        <v>297</v>
      </c>
      <c r="B320" s="378" t="s">
        <v>149</v>
      </c>
      <c r="C320" s="377" t="s">
        <v>992</v>
      </c>
      <c r="D320" s="464" t="s">
        <v>1083</v>
      </c>
      <c r="E320" s="573" t="s">
        <v>93</v>
      </c>
      <c r="F320" s="379">
        <v>1</v>
      </c>
      <c r="G320" s="464"/>
      <c r="H320" s="145"/>
      <c r="I320" s="148"/>
      <c r="J320" s="148"/>
      <c r="K320" s="148"/>
      <c r="L320" s="145"/>
      <c r="M320" s="145"/>
      <c r="N320" s="145"/>
      <c r="O320" s="145"/>
      <c r="P320" s="145"/>
      <c r="Q320" s="145"/>
      <c r="W320" s="1"/>
    </row>
    <row r="321" spans="1:23" s="68" customFormat="1">
      <c r="A321" s="348">
        <f t="shared" si="6"/>
        <v>298</v>
      </c>
      <c r="B321" s="378" t="s">
        <v>149</v>
      </c>
      <c r="C321" s="377" t="s">
        <v>992</v>
      </c>
      <c r="D321" s="464" t="s">
        <v>1084</v>
      </c>
      <c r="E321" s="573" t="s">
        <v>93</v>
      </c>
      <c r="F321" s="379">
        <v>2</v>
      </c>
      <c r="G321" s="464"/>
      <c r="H321" s="145"/>
      <c r="I321" s="148"/>
      <c r="J321" s="148"/>
      <c r="K321" s="148"/>
      <c r="L321" s="145"/>
      <c r="M321" s="145"/>
      <c r="N321" s="145"/>
      <c r="O321" s="145"/>
      <c r="P321" s="145"/>
      <c r="Q321" s="145"/>
      <c r="W321" s="1"/>
    </row>
    <row r="322" spans="1:23" s="68" customFormat="1">
      <c r="A322" s="348">
        <f t="shared" si="6"/>
        <v>299</v>
      </c>
      <c r="B322" s="378" t="s">
        <v>149</v>
      </c>
      <c r="C322" s="377" t="s">
        <v>992</v>
      </c>
      <c r="D322" s="464" t="s">
        <v>1085</v>
      </c>
      <c r="E322" s="573" t="s">
        <v>93</v>
      </c>
      <c r="F322" s="379">
        <v>1</v>
      </c>
      <c r="G322" s="464"/>
      <c r="H322" s="145"/>
      <c r="I322" s="148"/>
      <c r="J322" s="148"/>
      <c r="K322" s="148"/>
      <c r="L322" s="145"/>
      <c r="M322" s="145"/>
      <c r="N322" s="145"/>
      <c r="O322" s="145"/>
      <c r="P322" s="145"/>
      <c r="Q322" s="145"/>
      <c r="W322" s="1"/>
    </row>
    <row r="323" spans="1:23" s="68" customFormat="1">
      <c r="A323" s="348">
        <f t="shared" si="6"/>
        <v>300</v>
      </c>
      <c r="B323" s="378" t="s">
        <v>149</v>
      </c>
      <c r="C323" s="377" t="s">
        <v>992</v>
      </c>
      <c r="D323" s="464" t="s">
        <v>1086</v>
      </c>
      <c r="E323" s="573" t="s">
        <v>93</v>
      </c>
      <c r="F323" s="379">
        <v>1</v>
      </c>
      <c r="G323" s="464"/>
      <c r="H323" s="145"/>
      <c r="I323" s="148"/>
      <c r="J323" s="148"/>
      <c r="K323" s="148"/>
      <c r="L323" s="145"/>
      <c r="M323" s="145"/>
      <c r="N323" s="145"/>
      <c r="O323" s="145"/>
      <c r="P323" s="145"/>
      <c r="Q323" s="145"/>
      <c r="W323" s="1"/>
    </row>
    <row r="324" spans="1:23" s="68" customFormat="1">
      <c r="A324" s="348">
        <f t="shared" si="6"/>
        <v>301</v>
      </c>
      <c r="B324" s="378" t="s">
        <v>149</v>
      </c>
      <c r="C324" s="377" t="s">
        <v>992</v>
      </c>
      <c r="D324" s="464" t="s">
        <v>1087</v>
      </c>
      <c r="E324" s="573" t="s">
        <v>93</v>
      </c>
      <c r="F324" s="379">
        <v>1</v>
      </c>
      <c r="G324" s="464"/>
      <c r="H324" s="145"/>
      <c r="I324" s="148"/>
      <c r="J324" s="148"/>
      <c r="K324" s="148"/>
      <c r="L324" s="145"/>
      <c r="M324" s="145"/>
      <c r="N324" s="145"/>
      <c r="O324" s="145"/>
      <c r="P324" s="145"/>
      <c r="Q324" s="145"/>
      <c r="W324" s="1"/>
    </row>
    <row r="325" spans="1:23" s="68" customFormat="1" ht="24">
      <c r="A325" s="348">
        <f t="shared" si="6"/>
        <v>302</v>
      </c>
      <c r="B325" s="378" t="s">
        <v>149</v>
      </c>
      <c r="C325" s="561" t="s">
        <v>1002</v>
      </c>
      <c r="D325" s="378" t="s">
        <v>1088</v>
      </c>
      <c r="E325" s="573" t="s">
        <v>93</v>
      </c>
      <c r="F325" s="354">
        <v>2</v>
      </c>
      <c r="G325" s="378"/>
      <c r="H325" s="145"/>
      <c r="I325" s="148"/>
      <c r="J325" s="148"/>
      <c r="K325" s="148"/>
      <c r="L325" s="145"/>
      <c r="M325" s="145"/>
      <c r="N325" s="145"/>
      <c r="O325" s="145"/>
      <c r="P325" s="145"/>
      <c r="Q325" s="145"/>
      <c r="W325" s="1"/>
    </row>
    <row r="326" spans="1:23" s="68" customFormat="1" ht="24">
      <c r="A326" s="348">
        <f t="shared" si="6"/>
        <v>303</v>
      </c>
      <c r="B326" s="378" t="s">
        <v>149</v>
      </c>
      <c r="C326" s="561" t="s">
        <v>1002</v>
      </c>
      <c r="D326" s="378" t="s">
        <v>1048</v>
      </c>
      <c r="E326" s="573" t="s">
        <v>93</v>
      </c>
      <c r="F326" s="354">
        <v>1</v>
      </c>
      <c r="G326" s="378"/>
      <c r="H326" s="145"/>
      <c r="I326" s="148"/>
      <c r="J326" s="148"/>
      <c r="K326" s="148"/>
      <c r="L326" s="145"/>
      <c r="M326" s="145"/>
      <c r="N326" s="145"/>
      <c r="O326" s="145"/>
      <c r="P326" s="145"/>
      <c r="Q326" s="145"/>
      <c r="W326" s="1"/>
    </row>
    <row r="327" spans="1:23" s="68" customFormat="1" ht="24">
      <c r="A327" s="348">
        <f t="shared" si="6"/>
        <v>304</v>
      </c>
      <c r="B327" s="378" t="s">
        <v>149</v>
      </c>
      <c r="C327" s="561" t="s">
        <v>1002</v>
      </c>
      <c r="D327" s="378" t="s">
        <v>1003</v>
      </c>
      <c r="E327" s="573" t="s">
        <v>93</v>
      </c>
      <c r="F327" s="354">
        <v>3</v>
      </c>
      <c r="G327" s="378"/>
      <c r="H327" s="145"/>
      <c r="I327" s="148"/>
      <c r="J327" s="148"/>
      <c r="K327" s="148"/>
      <c r="L327" s="145"/>
      <c r="M327" s="145"/>
      <c r="N327" s="145"/>
      <c r="O327" s="145"/>
      <c r="P327" s="145"/>
      <c r="Q327" s="145"/>
      <c r="W327" s="1"/>
    </row>
    <row r="328" spans="1:23" s="68" customFormat="1">
      <c r="A328" s="348">
        <f t="shared" si="6"/>
        <v>305</v>
      </c>
      <c r="B328" s="378" t="s">
        <v>149</v>
      </c>
      <c r="C328" s="561" t="s">
        <v>1008</v>
      </c>
      <c r="D328" s="464" t="s">
        <v>1010</v>
      </c>
      <c r="E328" s="573" t="s">
        <v>93</v>
      </c>
      <c r="F328" s="379">
        <v>11</v>
      </c>
      <c r="G328" s="464"/>
      <c r="H328" s="145"/>
      <c r="I328" s="148"/>
      <c r="J328" s="148"/>
      <c r="K328" s="148"/>
      <c r="L328" s="145"/>
      <c r="M328" s="145"/>
      <c r="N328" s="145"/>
      <c r="O328" s="145"/>
      <c r="P328" s="145"/>
      <c r="Q328" s="145"/>
      <c r="W328" s="1"/>
    </row>
    <row r="329" spans="1:23" s="68" customFormat="1">
      <c r="A329" s="348">
        <f t="shared" si="6"/>
        <v>306</v>
      </c>
      <c r="B329" s="378" t="s">
        <v>149</v>
      </c>
      <c r="C329" s="561" t="s">
        <v>1008</v>
      </c>
      <c r="D329" s="464" t="s">
        <v>1050</v>
      </c>
      <c r="E329" s="573" t="s">
        <v>93</v>
      </c>
      <c r="F329" s="379">
        <v>1</v>
      </c>
      <c r="G329" s="464"/>
      <c r="H329" s="145"/>
      <c r="I329" s="148"/>
      <c r="J329" s="148"/>
      <c r="K329" s="148"/>
      <c r="L329" s="145"/>
      <c r="M329" s="145"/>
      <c r="N329" s="145"/>
      <c r="O329" s="145"/>
      <c r="P329" s="145"/>
      <c r="Q329" s="145"/>
      <c r="W329" s="1"/>
    </row>
    <row r="330" spans="1:23" s="68" customFormat="1">
      <c r="A330" s="348">
        <f t="shared" si="6"/>
        <v>307</v>
      </c>
      <c r="B330" s="378" t="s">
        <v>149</v>
      </c>
      <c r="C330" s="561" t="s">
        <v>1008</v>
      </c>
      <c r="D330" s="464" t="s">
        <v>1066</v>
      </c>
      <c r="E330" s="573" t="s">
        <v>93</v>
      </c>
      <c r="F330" s="379">
        <v>4</v>
      </c>
      <c r="G330" s="464"/>
      <c r="H330" s="145"/>
      <c r="I330" s="148"/>
      <c r="J330" s="148"/>
      <c r="K330" s="148"/>
      <c r="L330" s="145"/>
      <c r="M330" s="145"/>
      <c r="N330" s="145"/>
      <c r="O330" s="145"/>
      <c r="P330" s="145"/>
      <c r="Q330" s="145"/>
      <c r="W330" s="1"/>
    </row>
    <row r="331" spans="1:23" s="68" customFormat="1">
      <c r="A331" s="348">
        <f t="shared" si="6"/>
        <v>308</v>
      </c>
      <c r="B331" s="378" t="s">
        <v>149</v>
      </c>
      <c r="C331" s="561" t="s">
        <v>1008</v>
      </c>
      <c r="D331" s="464" t="s">
        <v>1089</v>
      </c>
      <c r="E331" s="573" t="s">
        <v>93</v>
      </c>
      <c r="F331" s="379">
        <v>2</v>
      </c>
      <c r="G331" s="464"/>
      <c r="H331" s="145"/>
      <c r="I331" s="148"/>
      <c r="J331" s="148"/>
      <c r="K331" s="148"/>
      <c r="L331" s="145"/>
      <c r="M331" s="145"/>
      <c r="N331" s="145"/>
      <c r="O331" s="145"/>
      <c r="P331" s="145"/>
      <c r="Q331" s="145"/>
      <c r="W331" s="1"/>
    </row>
    <row r="332" spans="1:23" s="68" customFormat="1">
      <c r="A332" s="348">
        <f t="shared" si="6"/>
        <v>309</v>
      </c>
      <c r="B332" s="378" t="s">
        <v>149</v>
      </c>
      <c r="C332" s="561" t="s">
        <v>1008</v>
      </c>
      <c r="D332" s="464" t="s">
        <v>1090</v>
      </c>
      <c r="E332" s="573" t="s">
        <v>93</v>
      </c>
      <c r="F332" s="379">
        <v>1</v>
      </c>
      <c r="G332" s="464"/>
      <c r="H332" s="145"/>
      <c r="I332" s="148"/>
      <c r="J332" s="148"/>
      <c r="K332" s="148"/>
      <c r="L332" s="145"/>
      <c r="M332" s="145"/>
      <c r="N332" s="145"/>
      <c r="O332" s="145"/>
      <c r="P332" s="145"/>
      <c r="Q332" s="145"/>
      <c r="W332" s="1"/>
    </row>
    <row r="333" spans="1:23" s="68" customFormat="1">
      <c r="A333" s="348">
        <f t="shared" si="6"/>
        <v>310</v>
      </c>
      <c r="B333" s="378" t="s">
        <v>149</v>
      </c>
      <c r="C333" s="561" t="s">
        <v>1008</v>
      </c>
      <c r="D333" s="464" t="s">
        <v>1091</v>
      </c>
      <c r="E333" s="573" t="s">
        <v>93</v>
      </c>
      <c r="F333" s="354">
        <v>2</v>
      </c>
      <c r="G333" s="378"/>
      <c r="H333" s="145"/>
      <c r="I333" s="148"/>
      <c r="J333" s="148"/>
      <c r="K333" s="148"/>
      <c r="L333" s="145"/>
      <c r="M333" s="145"/>
      <c r="N333" s="145"/>
      <c r="O333" s="145"/>
      <c r="P333" s="145"/>
      <c r="Q333" s="145"/>
      <c r="W333" s="1"/>
    </row>
    <row r="334" spans="1:23" s="68" customFormat="1">
      <c r="A334" s="348">
        <f t="shared" si="6"/>
        <v>311</v>
      </c>
      <c r="B334" s="378" t="s">
        <v>149</v>
      </c>
      <c r="C334" s="561" t="s">
        <v>1008</v>
      </c>
      <c r="D334" s="378" t="s">
        <v>1011</v>
      </c>
      <c r="E334" s="573" t="s">
        <v>93</v>
      </c>
      <c r="F334" s="354">
        <v>1</v>
      </c>
      <c r="G334" s="378"/>
      <c r="H334" s="145"/>
      <c r="I334" s="148"/>
      <c r="J334" s="148"/>
      <c r="K334" s="148"/>
      <c r="L334" s="145"/>
      <c r="M334" s="145"/>
      <c r="N334" s="145"/>
      <c r="O334" s="145"/>
      <c r="P334" s="145"/>
      <c r="Q334" s="145"/>
      <c r="W334" s="1"/>
    </row>
    <row r="335" spans="1:23" s="68" customFormat="1">
      <c r="A335" s="348">
        <f t="shared" si="6"/>
        <v>312</v>
      </c>
      <c r="B335" s="378" t="s">
        <v>149</v>
      </c>
      <c r="C335" s="561" t="s">
        <v>1008</v>
      </c>
      <c r="D335" s="378" t="s">
        <v>1068</v>
      </c>
      <c r="E335" s="573" t="s">
        <v>93</v>
      </c>
      <c r="F335" s="354">
        <v>2</v>
      </c>
      <c r="G335" s="378"/>
      <c r="H335" s="145"/>
      <c r="I335" s="148"/>
      <c r="J335" s="148"/>
      <c r="K335" s="148"/>
      <c r="L335" s="145"/>
      <c r="M335" s="145"/>
      <c r="N335" s="145"/>
      <c r="O335" s="145"/>
      <c r="P335" s="145"/>
      <c r="Q335" s="145"/>
      <c r="W335" s="1"/>
    </row>
    <row r="336" spans="1:23" s="68" customFormat="1">
      <c r="A336" s="348">
        <f t="shared" si="6"/>
        <v>313</v>
      </c>
      <c r="B336" s="378" t="s">
        <v>149</v>
      </c>
      <c r="C336" s="561" t="s">
        <v>1008</v>
      </c>
      <c r="D336" s="378" t="s">
        <v>1012</v>
      </c>
      <c r="E336" s="573" t="s">
        <v>93</v>
      </c>
      <c r="F336" s="354">
        <v>2</v>
      </c>
      <c r="G336" s="378"/>
      <c r="H336" s="145"/>
      <c r="I336" s="148"/>
      <c r="J336" s="148"/>
      <c r="K336" s="148"/>
      <c r="L336" s="145"/>
      <c r="M336" s="145"/>
      <c r="N336" s="145"/>
      <c r="O336" s="145"/>
      <c r="P336" s="145"/>
      <c r="Q336" s="145"/>
      <c r="W336" s="1"/>
    </row>
    <row r="337" spans="1:23" s="68" customFormat="1" ht="24">
      <c r="A337" s="348">
        <f t="shared" si="6"/>
        <v>314</v>
      </c>
      <c r="B337" s="378" t="s">
        <v>149</v>
      </c>
      <c r="C337" s="561" t="s">
        <v>1008</v>
      </c>
      <c r="D337" s="378" t="s">
        <v>1092</v>
      </c>
      <c r="E337" s="573" t="s">
        <v>93</v>
      </c>
      <c r="F337" s="354">
        <v>2</v>
      </c>
      <c r="G337" s="378"/>
      <c r="H337" s="145"/>
      <c r="I337" s="148"/>
      <c r="J337" s="148"/>
      <c r="K337" s="148"/>
      <c r="L337" s="145"/>
      <c r="M337" s="145"/>
      <c r="N337" s="145"/>
      <c r="O337" s="145"/>
      <c r="P337" s="145"/>
      <c r="Q337" s="145"/>
      <c r="W337" s="1"/>
    </row>
    <row r="338" spans="1:23" s="68" customFormat="1">
      <c r="A338" s="348">
        <f t="shared" si="6"/>
        <v>315</v>
      </c>
      <c r="B338" s="378" t="s">
        <v>149</v>
      </c>
      <c r="C338" s="561" t="s">
        <v>1006</v>
      </c>
      <c r="D338" s="378" t="s">
        <v>1093</v>
      </c>
      <c r="E338" s="573" t="s">
        <v>93</v>
      </c>
      <c r="F338" s="354">
        <v>2</v>
      </c>
      <c r="G338" s="378"/>
      <c r="H338" s="145"/>
      <c r="I338" s="148"/>
      <c r="J338" s="148"/>
      <c r="K338" s="148"/>
      <c r="L338" s="145"/>
      <c r="M338" s="145"/>
      <c r="N338" s="145"/>
      <c r="O338" s="145"/>
      <c r="P338" s="145"/>
      <c r="Q338" s="145"/>
      <c r="W338" s="1"/>
    </row>
    <row r="339" spans="1:23" s="68" customFormat="1">
      <c r="A339" s="348">
        <f t="shared" si="6"/>
        <v>316</v>
      </c>
      <c r="B339" s="378" t="s">
        <v>149</v>
      </c>
      <c r="C339" s="561" t="s">
        <v>1006</v>
      </c>
      <c r="D339" s="378" t="s">
        <v>1007</v>
      </c>
      <c r="E339" s="573" t="s">
        <v>93</v>
      </c>
      <c r="F339" s="354">
        <v>26</v>
      </c>
      <c r="G339" s="378"/>
      <c r="H339" s="145"/>
      <c r="I339" s="148"/>
      <c r="J339" s="148"/>
      <c r="K339" s="148"/>
      <c r="L339" s="145"/>
      <c r="M339" s="145"/>
      <c r="N339" s="145"/>
      <c r="O339" s="145"/>
      <c r="P339" s="145"/>
      <c r="Q339" s="145"/>
      <c r="W339" s="1"/>
    </row>
    <row r="340" spans="1:23" s="68" customFormat="1">
      <c r="A340" s="348">
        <f t="shared" si="6"/>
        <v>317</v>
      </c>
      <c r="B340" s="378" t="s">
        <v>149</v>
      </c>
      <c r="C340" s="377" t="s">
        <v>1013</v>
      </c>
      <c r="D340" s="573" t="s">
        <v>1052</v>
      </c>
      <c r="E340" s="573" t="s">
        <v>77</v>
      </c>
      <c r="F340" s="379">
        <v>17</v>
      </c>
      <c r="G340" s="464"/>
      <c r="H340" s="145"/>
      <c r="I340" s="148"/>
      <c r="J340" s="148"/>
      <c r="K340" s="148"/>
      <c r="L340" s="145"/>
      <c r="M340" s="145"/>
      <c r="N340" s="145"/>
      <c r="O340" s="145"/>
      <c r="P340" s="145"/>
      <c r="Q340" s="145"/>
      <c r="W340" s="1"/>
    </row>
    <row r="341" spans="1:23" s="68" customFormat="1">
      <c r="A341" s="348">
        <f t="shared" si="6"/>
        <v>318</v>
      </c>
      <c r="B341" s="378" t="s">
        <v>149</v>
      </c>
      <c r="C341" s="377" t="s">
        <v>1013</v>
      </c>
      <c r="D341" s="573" t="s">
        <v>1014</v>
      </c>
      <c r="E341" s="573" t="s">
        <v>77</v>
      </c>
      <c r="F341" s="379">
        <v>24</v>
      </c>
      <c r="G341" s="464"/>
      <c r="H341" s="145"/>
      <c r="I341" s="148"/>
      <c r="J341" s="148"/>
      <c r="K341" s="148"/>
      <c r="L341" s="145"/>
      <c r="M341" s="145"/>
      <c r="N341" s="145"/>
      <c r="O341" s="145"/>
      <c r="P341" s="145"/>
      <c r="Q341" s="145"/>
      <c r="W341" s="1"/>
    </row>
    <row r="342" spans="1:23" s="68" customFormat="1">
      <c r="A342" s="348">
        <f t="shared" si="6"/>
        <v>319</v>
      </c>
      <c r="B342" s="378" t="s">
        <v>149</v>
      </c>
      <c r="C342" s="377" t="s">
        <v>1013</v>
      </c>
      <c r="D342" s="573" t="s">
        <v>1015</v>
      </c>
      <c r="E342" s="573" t="s">
        <v>77</v>
      </c>
      <c r="F342" s="379">
        <v>20</v>
      </c>
      <c r="G342" s="464"/>
      <c r="H342" s="145"/>
      <c r="I342" s="148"/>
      <c r="J342" s="148"/>
      <c r="K342" s="148"/>
      <c r="L342" s="145"/>
      <c r="M342" s="145"/>
      <c r="N342" s="145"/>
      <c r="O342" s="145"/>
      <c r="P342" s="145"/>
      <c r="Q342" s="145"/>
      <c r="W342" s="1"/>
    </row>
    <row r="343" spans="1:23" s="68" customFormat="1">
      <c r="A343" s="348">
        <f t="shared" si="6"/>
        <v>320</v>
      </c>
      <c r="B343" s="378" t="s">
        <v>149</v>
      </c>
      <c r="C343" s="377" t="s">
        <v>1013</v>
      </c>
      <c r="D343" s="573" t="s">
        <v>1016</v>
      </c>
      <c r="E343" s="573" t="s">
        <v>77</v>
      </c>
      <c r="F343" s="379">
        <v>9</v>
      </c>
      <c r="G343" s="464"/>
      <c r="H343" s="145"/>
      <c r="I343" s="148"/>
      <c r="J343" s="148"/>
      <c r="K343" s="148"/>
      <c r="L343" s="145"/>
      <c r="M343" s="145"/>
      <c r="N343" s="145"/>
      <c r="O343" s="145"/>
      <c r="P343" s="145"/>
      <c r="Q343" s="145"/>
      <c r="W343" s="1"/>
    </row>
    <row r="344" spans="1:23" s="68" customFormat="1">
      <c r="A344" s="348">
        <f t="shared" si="6"/>
        <v>321</v>
      </c>
      <c r="B344" s="378" t="s">
        <v>149</v>
      </c>
      <c r="C344" s="377" t="s">
        <v>1013</v>
      </c>
      <c r="D344" s="573" t="s">
        <v>1017</v>
      </c>
      <c r="E344" s="573" t="s">
        <v>77</v>
      </c>
      <c r="F344" s="379">
        <v>4</v>
      </c>
      <c r="G344" s="464"/>
      <c r="H344" s="145"/>
      <c r="I344" s="148"/>
      <c r="J344" s="148"/>
      <c r="K344" s="148"/>
      <c r="L344" s="145"/>
      <c r="M344" s="145"/>
      <c r="N344" s="145"/>
      <c r="O344" s="145"/>
      <c r="P344" s="145"/>
      <c r="Q344" s="145"/>
      <c r="W344" s="1"/>
    </row>
    <row r="345" spans="1:23" s="68" customFormat="1">
      <c r="A345" s="348">
        <f t="shared" si="6"/>
        <v>322</v>
      </c>
      <c r="B345" s="378" t="s">
        <v>149</v>
      </c>
      <c r="C345" s="377" t="s">
        <v>1013</v>
      </c>
      <c r="D345" s="464" t="s">
        <v>1069</v>
      </c>
      <c r="E345" s="573" t="s">
        <v>77</v>
      </c>
      <c r="F345" s="379">
        <v>4</v>
      </c>
      <c r="G345" s="464"/>
      <c r="H345" s="145"/>
      <c r="I345" s="148"/>
      <c r="J345" s="148"/>
      <c r="K345" s="148"/>
      <c r="L345" s="145"/>
      <c r="M345" s="145"/>
      <c r="N345" s="145"/>
      <c r="O345" s="145"/>
      <c r="P345" s="145"/>
      <c r="Q345" s="145"/>
      <c r="W345" s="1"/>
    </row>
    <row r="346" spans="1:23" s="68" customFormat="1">
      <c r="A346" s="348">
        <f t="shared" si="6"/>
        <v>323</v>
      </c>
      <c r="B346" s="378" t="s">
        <v>149</v>
      </c>
      <c r="C346" s="377" t="s">
        <v>1013</v>
      </c>
      <c r="D346" s="464" t="s">
        <v>1094</v>
      </c>
      <c r="E346" s="573" t="s">
        <v>77</v>
      </c>
      <c r="F346" s="379">
        <v>2</v>
      </c>
      <c r="G346" s="464"/>
      <c r="H346" s="145"/>
      <c r="I346" s="148"/>
      <c r="J346" s="148"/>
      <c r="K346" s="148"/>
      <c r="L346" s="145"/>
      <c r="M346" s="145"/>
      <c r="N346" s="145"/>
      <c r="O346" s="145"/>
      <c r="P346" s="145"/>
      <c r="Q346" s="145"/>
      <c r="W346" s="1"/>
    </row>
    <row r="347" spans="1:23" s="68" customFormat="1">
      <c r="A347" s="348">
        <f t="shared" si="6"/>
        <v>324</v>
      </c>
      <c r="B347" s="378" t="s">
        <v>149</v>
      </c>
      <c r="C347" s="377" t="s">
        <v>1013</v>
      </c>
      <c r="D347" s="464" t="s">
        <v>1019</v>
      </c>
      <c r="E347" s="573" t="s">
        <v>77</v>
      </c>
      <c r="F347" s="379">
        <v>5</v>
      </c>
      <c r="G347" s="464"/>
      <c r="H347" s="145"/>
      <c r="I347" s="148"/>
      <c r="J347" s="148"/>
      <c r="K347" s="148"/>
      <c r="L347" s="145"/>
      <c r="M347" s="145"/>
      <c r="N347" s="145"/>
      <c r="O347" s="145"/>
      <c r="P347" s="145"/>
      <c r="Q347" s="145"/>
      <c r="W347" s="1"/>
    </row>
    <row r="348" spans="1:23" s="68" customFormat="1">
      <c r="A348" s="348">
        <f t="shared" si="6"/>
        <v>325</v>
      </c>
      <c r="B348" s="378" t="s">
        <v>149</v>
      </c>
      <c r="C348" s="377" t="s">
        <v>1013</v>
      </c>
      <c r="D348" s="464" t="s">
        <v>1053</v>
      </c>
      <c r="E348" s="573" t="s">
        <v>77</v>
      </c>
      <c r="F348" s="379">
        <v>9</v>
      </c>
      <c r="G348" s="464"/>
      <c r="H348" s="145"/>
      <c r="I348" s="148"/>
      <c r="J348" s="148"/>
      <c r="K348" s="148"/>
      <c r="L348" s="145"/>
      <c r="M348" s="145"/>
      <c r="N348" s="145"/>
      <c r="O348" s="145"/>
      <c r="P348" s="145"/>
      <c r="Q348" s="145"/>
      <c r="W348" s="1"/>
    </row>
    <row r="349" spans="1:23" s="68" customFormat="1">
      <c r="A349" s="348">
        <f t="shared" si="6"/>
        <v>326</v>
      </c>
      <c r="B349" s="378" t="s">
        <v>149</v>
      </c>
      <c r="C349" s="377" t="s">
        <v>1013</v>
      </c>
      <c r="D349" s="464" t="s">
        <v>1020</v>
      </c>
      <c r="E349" s="573" t="s">
        <v>77</v>
      </c>
      <c r="F349" s="379">
        <v>2</v>
      </c>
      <c r="G349" s="464"/>
      <c r="H349" s="145"/>
      <c r="I349" s="148"/>
      <c r="J349" s="148"/>
      <c r="K349" s="148"/>
      <c r="L349" s="145"/>
      <c r="M349" s="145"/>
      <c r="N349" s="145"/>
      <c r="O349" s="145"/>
      <c r="P349" s="145"/>
      <c r="Q349" s="145"/>
      <c r="W349" s="1"/>
    </row>
    <row r="350" spans="1:23" s="68" customFormat="1">
      <c r="A350" s="348">
        <f t="shared" si="6"/>
        <v>327</v>
      </c>
      <c r="B350" s="378" t="s">
        <v>149</v>
      </c>
      <c r="C350" s="377" t="s">
        <v>1013</v>
      </c>
      <c r="D350" s="464" t="s">
        <v>1070</v>
      </c>
      <c r="E350" s="573" t="s">
        <v>77</v>
      </c>
      <c r="F350" s="379">
        <v>2</v>
      </c>
      <c r="G350" s="464"/>
      <c r="H350" s="145"/>
      <c r="I350" s="148"/>
      <c r="J350" s="148"/>
      <c r="K350" s="148"/>
      <c r="L350" s="145"/>
      <c r="M350" s="145"/>
      <c r="N350" s="145"/>
      <c r="O350" s="145"/>
      <c r="P350" s="145"/>
      <c r="Q350" s="145"/>
      <c r="W350" s="1"/>
    </row>
    <row r="351" spans="1:23" s="68" customFormat="1">
      <c r="A351" s="348">
        <f t="shared" si="6"/>
        <v>328</v>
      </c>
      <c r="B351" s="378" t="s">
        <v>149</v>
      </c>
      <c r="C351" s="377" t="s">
        <v>1013</v>
      </c>
      <c r="D351" s="464" t="s">
        <v>1095</v>
      </c>
      <c r="E351" s="573" t="s">
        <v>77</v>
      </c>
      <c r="F351" s="379">
        <v>22</v>
      </c>
      <c r="G351" s="464"/>
      <c r="H351" s="145"/>
      <c r="I351" s="148"/>
      <c r="J351" s="148"/>
      <c r="K351" s="148"/>
      <c r="L351" s="145"/>
      <c r="M351" s="145"/>
      <c r="N351" s="145"/>
      <c r="O351" s="145"/>
      <c r="P351" s="145"/>
      <c r="Q351" s="145"/>
      <c r="W351" s="1"/>
    </row>
    <row r="352" spans="1:23" s="68" customFormat="1">
      <c r="A352" s="348">
        <f t="shared" si="6"/>
        <v>329</v>
      </c>
      <c r="B352" s="378" t="s">
        <v>149</v>
      </c>
      <c r="C352" s="377" t="s">
        <v>1013</v>
      </c>
      <c r="D352" s="464" t="s">
        <v>1071</v>
      </c>
      <c r="E352" s="573" t="s">
        <v>77</v>
      </c>
      <c r="F352" s="379">
        <v>5</v>
      </c>
      <c r="G352" s="464"/>
      <c r="H352" s="145"/>
      <c r="I352" s="148"/>
      <c r="J352" s="148"/>
      <c r="K352" s="148"/>
      <c r="L352" s="145"/>
      <c r="M352" s="145"/>
      <c r="N352" s="145"/>
      <c r="O352" s="145"/>
      <c r="P352" s="145"/>
      <c r="Q352" s="145"/>
      <c r="W352" s="1"/>
    </row>
    <row r="353" spans="1:23" s="68" customFormat="1">
      <c r="A353" s="348">
        <f t="shared" si="6"/>
        <v>330</v>
      </c>
      <c r="B353" s="378" t="s">
        <v>149</v>
      </c>
      <c r="C353" s="377" t="s">
        <v>1013</v>
      </c>
      <c r="D353" s="464" t="s">
        <v>1096</v>
      </c>
      <c r="E353" s="573" t="s">
        <v>77</v>
      </c>
      <c r="F353" s="379">
        <v>5</v>
      </c>
      <c r="G353" s="464"/>
      <c r="H353" s="145"/>
      <c r="I353" s="148"/>
      <c r="J353" s="148"/>
      <c r="K353" s="148"/>
      <c r="L353" s="145"/>
      <c r="M353" s="145"/>
      <c r="N353" s="145"/>
      <c r="O353" s="145"/>
      <c r="P353" s="145"/>
      <c r="Q353" s="145"/>
      <c r="W353" s="1"/>
    </row>
    <row r="354" spans="1:23" s="68" customFormat="1">
      <c r="A354" s="348">
        <f t="shared" si="6"/>
        <v>331</v>
      </c>
      <c r="B354" s="378" t="s">
        <v>149</v>
      </c>
      <c r="C354" s="377" t="s">
        <v>1013</v>
      </c>
      <c r="D354" s="464" t="s">
        <v>1054</v>
      </c>
      <c r="E354" s="573" t="s">
        <v>77</v>
      </c>
      <c r="F354" s="379">
        <v>8</v>
      </c>
      <c r="G354" s="464"/>
      <c r="H354" s="145"/>
      <c r="I354" s="148"/>
      <c r="J354" s="148"/>
      <c r="K354" s="148"/>
      <c r="L354" s="145"/>
      <c r="M354" s="145"/>
      <c r="N354" s="145"/>
      <c r="O354" s="145"/>
      <c r="P354" s="145"/>
      <c r="Q354" s="145"/>
      <c r="W354" s="1"/>
    </row>
    <row r="355" spans="1:23" s="68" customFormat="1">
      <c r="A355" s="348">
        <f t="shared" si="6"/>
        <v>332</v>
      </c>
      <c r="B355" s="378" t="s">
        <v>149</v>
      </c>
      <c r="C355" s="377" t="s">
        <v>1013</v>
      </c>
      <c r="D355" s="464" t="s">
        <v>1097</v>
      </c>
      <c r="E355" s="573" t="s">
        <v>77</v>
      </c>
      <c r="F355" s="379">
        <v>2</v>
      </c>
      <c r="G355" s="464"/>
      <c r="H355" s="145"/>
      <c r="I355" s="148"/>
      <c r="J355" s="148"/>
      <c r="K355" s="148"/>
      <c r="L355" s="145"/>
      <c r="M355" s="145"/>
      <c r="N355" s="145"/>
      <c r="O355" s="145"/>
      <c r="P355" s="145"/>
      <c r="Q355" s="145"/>
      <c r="W355" s="1"/>
    </row>
    <row r="356" spans="1:23" s="68" customFormat="1">
      <c r="A356" s="348">
        <f t="shared" si="6"/>
        <v>333</v>
      </c>
      <c r="B356" s="378" t="s">
        <v>149</v>
      </c>
      <c r="C356" s="377" t="s">
        <v>1013</v>
      </c>
      <c r="D356" s="464" t="s">
        <v>1072</v>
      </c>
      <c r="E356" s="573" t="s">
        <v>77</v>
      </c>
      <c r="F356" s="379">
        <v>8</v>
      </c>
      <c r="G356" s="464"/>
      <c r="H356" s="145"/>
      <c r="I356" s="148"/>
      <c r="J356" s="148"/>
      <c r="K356" s="148"/>
      <c r="L356" s="145"/>
      <c r="M356" s="145"/>
      <c r="N356" s="145"/>
      <c r="O356" s="145"/>
      <c r="P356" s="145"/>
      <c r="Q356" s="145"/>
      <c r="W356" s="1"/>
    </row>
    <row r="357" spans="1:23" s="68" customFormat="1">
      <c r="A357" s="348">
        <f t="shared" si="6"/>
        <v>334</v>
      </c>
      <c r="B357" s="378" t="s">
        <v>149</v>
      </c>
      <c r="C357" s="377" t="s">
        <v>1013</v>
      </c>
      <c r="D357" s="464" t="s">
        <v>1024</v>
      </c>
      <c r="E357" s="573" t="s">
        <v>77</v>
      </c>
      <c r="F357" s="379">
        <v>4</v>
      </c>
      <c r="G357" s="464"/>
      <c r="H357" s="145"/>
      <c r="I357" s="148"/>
      <c r="J357" s="148"/>
      <c r="K357" s="148"/>
      <c r="L357" s="145"/>
      <c r="M357" s="145"/>
      <c r="N357" s="145"/>
      <c r="O357" s="145"/>
      <c r="P357" s="145"/>
      <c r="Q357" s="145"/>
      <c r="W357" s="1"/>
    </row>
    <row r="358" spans="1:23" s="68" customFormat="1">
      <c r="A358" s="348">
        <f t="shared" si="6"/>
        <v>335</v>
      </c>
      <c r="B358" s="378" t="s">
        <v>149</v>
      </c>
      <c r="C358" s="377" t="s">
        <v>1013</v>
      </c>
      <c r="D358" s="464" t="s">
        <v>1073</v>
      </c>
      <c r="E358" s="573" t="s">
        <v>77</v>
      </c>
      <c r="F358" s="379">
        <v>8</v>
      </c>
      <c r="G358" s="464"/>
      <c r="H358" s="145"/>
      <c r="I358" s="148"/>
      <c r="J358" s="148"/>
      <c r="K358" s="148"/>
      <c r="L358" s="145"/>
      <c r="M358" s="145"/>
      <c r="N358" s="145"/>
      <c r="O358" s="145"/>
      <c r="P358" s="145"/>
      <c r="Q358" s="145"/>
      <c r="W358" s="1"/>
    </row>
    <row r="359" spans="1:23" s="68" customFormat="1">
      <c r="A359" s="348">
        <f t="shared" si="6"/>
        <v>336</v>
      </c>
      <c r="B359" s="378" t="s">
        <v>149</v>
      </c>
      <c r="C359" s="377" t="s">
        <v>1013</v>
      </c>
      <c r="D359" s="464" t="s">
        <v>1074</v>
      </c>
      <c r="E359" s="573" t="s">
        <v>77</v>
      </c>
      <c r="F359" s="379">
        <v>8</v>
      </c>
      <c r="G359" s="464"/>
      <c r="H359" s="145"/>
      <c r="I359" s="148"/>
      <c r="J359" s="148"/>
      <c r="K359" s="148"/>
      <c r="L359" s="145"/>
      <c r="M359" s="145"/>
      <c r="N359" s="145"/>
      <c r="O359" s="145"/>
      <c r="P359" s="145"/>
      <c r="Q359" s="145"/>
      <c r="W359" s="1"/>
    </row>
    <row r="360" spans="1:23" s="68" customFormat="1">
      <c r="A360" s="348">
        <f t="shared" si="6"/>
        <v>337</v>
      </c>
      <c r="B360" s="378" t="s">
        <v>149</v>
      </c>
      <c r="C360" s="377" t="s">
        <v>1013</v>
      </c>
      <c r="D360" s="464" t="s">
        <v>1005</v>
      </c>
      <c r="E360" s="573" t="s">
        <v>77</v>
      </c>
      <c r="F360" s="379">
        <v>1</v>
      </c>
      <c r="G360" s="464"/>
      <c r="H360" s="145"/>
      <c r="I360" s="148"/>
      <c r="J360" s="148"/>
      <c r="K360" s="148"/>
      <c r="L360" s="145"/>
      <c r="M360" s="145"/>
      <c r="N360" s="145"/>
      <c r="O360" s="145"/>
      <c r="P360" s="145"/>
      <c r="Q360" s="145"/>
      <c r="W360" s="1"/>
    </row>
    <row r="361" spans="1:23" s="68" customFormat="1">
      <c r="A361" s="348">
        <f t="shared" si="6"/>
        <v>338</v>
      </c>
      <c r="B361" s="378" t="s">
        <v>149</v>
      </c>
      <c r="C361" s="377" t="s">
        <v>1013</v>
      </c>
      <c r="D361" s="464" t="s">
        <v>1026</v>
      </c>
      <c r="E361" s="573" t="s">
        <v>77</v>
      </c>
      <c r="F361" s="379">
        <v>7</v>
      </c>
      <c r="G361" s="464"/>
      <c r="H361" s="145"/>
      <c r="I361" s="148"/>
      <c r="J361" s="148"/>
      <c r="K361" s="148"/>
      <c r="L361" s="145"/>
      <c r="M361" s="145"/>
      <c r="N361" s="145"/>
      <c r="O361" s="145"/>
      <c r="P361" s="145"/>
      <c r="Q361" s="145"/>
      <c r="W361" s="1"/>
    </row>
    <row r="362" spans="1:23" s="68" customFormat="1">
      <c r="A362" s="348">
        <f t="shared" si="6"/>
        <v>339</v>
      </c>
      <c r="B362" s="378" t="s">
        <v>149</v>
      </c>
      <c r="C362" s="377" t="s">
        <v>1013</v>
      </c>
      <c r="D362" s="464" t="s">
        <v>1098</v>
      </c>
      <c r="E362" s="573" t="s">
        <v>77</v>
      </c>
      <c r="F362" s="379">
        <v>3</v>
      </c>
      <c r="G362" s="464"/>
      <c r="H362" s="145"/>
      <c r="I362" s="148"/>
      <c r="J362" s="148"/>
      <c r="K362" s="148"/>
      <c r="L362" s="145"/>
      <c r="M362" s="145"/>
      <c r="N362" s="145"/>
      <c r="O362" s="145"/>
      <c r="P362" s="145"/>
      <c r="Q362" s="145"/>
      <c r="W362" s="1"/>
    </row>
    <row r="363" spans="1:23" s="68" customFormat="1">
      <c r="A363" s="348">
        <f t="shared" si="6"/>
        <v>340</v>
      </c>
      <c r="B363" s="378" t="s">
        <v>149</v>
      </c>
      <c r="C363" s="377" t="s">
        <v>1013</v>
      </c>
      <c r="D363" s="464" t="s">
        <v>1099</v>
      </c>
      <c r="E363" s="573" t="s">
        <v>77</v>
      </c>
      <c r="F363" s="379">
        <v>4</v>
      </c>
      <c r="G363" s="464"/>
      <c r="H363" s="145"/>
      <c r="I363" s="148"/>
      <c r="J363" s="148"/>
      <c r="K363" s="148"/>
      <c r="L363" s="145"/>
      <c r="M363" s="145"/>
      <c r="N363" s="145"/>
      <c r="O363" s="145"/>
      <c r="P363" s="145"/>
      <c r="Q363" s="145"/>
      <c r="W363" s="1"/>
    </row>
    <row r="364" spans="1:23" s="68" customFormat="1">
      <c r="A364" s="348">
        <f t="shared" si="6"/>
        <v>341</v>
      </c>
      <c r="B364" s="378" t="s">
        <v>149</v>
      </c>
      <c r="C364" s="377" t="s">
        <v>1013</v>
      </c>
      <c r="D364" s="464" t="s">
        <v>1028</v>
      </c>
      <c r="E364" s="573" t="s">
        <v>77</v>
      </c>
      <c r="F364" s="379">
        <v>4</v>
      </c>
      <c r="G364" s="464"/>
      <c r="H364" s="145"/>
      <c r="I364" s="148"/>
      <c r="J364" s="148"/>
      <c r="K364" s="148"/>
      <c r="L364" s="145"/>
      <c r="M364" s="145"/>
      <c r="N364" s="145"/>
      <c r="O364" s="145"/>
      <c r="P364" s="145"/>
      <c r="Q364" s="145"/>
      <c r="W364" s="1"/>
    </row>
    <row r="365" spans="1:23" s="68" customFormat="1">
      <c r="A365" s="348">
        <f t="shared" si="6"/>
        <v>342</v>
      </c>
      <c r="B365" s="378" t="s">
        <v>149</v>
      </c>
      <c r="C365" s="377" t="s">
        <v>1013</v>
      </c>
      <c r="D365" s="464" t="s">
        <v>1100</v>
      </c>
      <c r="E365" s="573" t="s">
        <v>77</v>
      </c>
      <c r="F365" s="379">
        <v>2</v>
      </c>
      <c r="G365" s="464"/>
      <c r="H365" s="145"/>
      <c r="I365" s="148"/>
      <c r="J365" s="148"/>
      <c r="K365" s="148"/>
      <c r="L365" s="145"/>
      <c r="M365" s="145"/>
      <c r="N365" s="145"/>
      <c r="O365" s="145"/>
      <c r="P365" s="145"/>
      <c r="Q365" s="145"/>
      <c r="W365" s="1"/>
    </row>
    <row r="366" spans="1:23" s="68" customFormat="1">
      <c r="A366" s="348">
        <f t="shared" si="6"/>
        <v>343</v>
      </c>
      <c r="B366" s="378" t="s">
        <v>149</v>
      </c>
      <c r="C366" s="377" t="s">
        <v>1013</v>
      </c>
      <c r="D366" s="464" t="s">
        <v>1101</v>
      </c>
      <c r="E366" s="573" t="s">
        <v>77</v>
      </c>
      <c r="F366" s="379">
        <v>4</v>
      </c>
      <c r="G366" s="464"/>
      <c r="H366" s="145"/>
      <c r="I366" s="148"/>
      <c r="J366" s="148"/>
      <c r="K366" s="148"/>
      <c r="L366" s="145"/>
      <c r="M366" s="145"/>
      <c r="N366" s="145"/>
      <c r="O366" s="145"/>
      <c r="P366" s="145"/>
      <c r="Q366" s="145"/>
      <c r="W366" s="1"/>
    </row>
    <row r="367" spans="1:23" s="68" customFormat="1">
      <c r="A367" s="348">
        <f t="shared" si="6"/>
        <v>344</v>
      </c>
      <c r="B367" s="378" t="s">
        <v>149</v>
      </c>
      <c r="C367" s="377" t="s">
        <v>1013</v>
      </c>
      <c r="D367" s="464" t="s">
        <v>1102</v>
      </c>
      <c r="E367" s="573" t="s">
        <v>77</v>
      </c>
      <c r="F367" s="379">
        <v>1</v>
      </c>
      <c r="G367" s="464"/>
      <c r="H367" s="145"/>
      <c r="I367" s="148"/>
      <c r="J367" s="148"/>
      <c r="K367" s="148"/>
      <c r="L367" s="145"/>
      <c r="M367" s="145"/>
      <c r="N367" s="145"/>
      <c r="O367" s="145"/>
      <c r="P367" s="145"/>
      <c r="Q367" s="145"/>
      <c r="W367" s="1"/>
    </row>
    <row r="368" spans="1:23" s="68" customFormat="1">
      <c r="A368" s="348">
        <f t="shared" si="6"/>
        <v>345</v>
      </c>
      <c r="B368" s="378" t="s">
        <v>149</v>
      </c>
      <c r="C368" s="377" t="s">
        <v>1013</v>
      </c>
      <c r="D368" s="464" t="s">
        <v>1078</v>
      </c>
      <c r="E368" s="573" t="s">
        <v>77</v>
      </c>
      <c r="F368" s="379">
        <v>1</v>
      </c>
      <c r="G368" s="464"/>
      <c r="H368" s="145"/>
      <c r="I368" s="148"/>
      <c r="J368" s="148"/>
      <c r="K368" s="148"/>
      <c r="L368" s="145"/>
      <c r="M368" s="145"/>
      <c r="N368" s="145"/>
      <c r="O368" s="145"/>
      <c r="P368" s="145"/>
      <c r="Q368" s="145"/>
      <c r="W368" s="1"/>
    </row>
    <row r="369" spans="1:23" s="68" customFormat="1" ht="24">
      <c r="A369" s="348">
        <f t="shared" si="6"/>
        <v>346</v>
      </c>
      <c r="B369" s="378" t="s">
        <v>149</v>
      </c>
      <c r="C369" s="377" t="s">
        <v>1029</v>
      </c>
      <c r="D369" s="555" t="s">
        <v>1030</v>
      </c>
      <c r="E369" s="378" t="s">
        <v>1781</v>
      </c>
      <c r="F369" s="354">
        <v>120</v>
      </c>
      <c r="G369" s="378"/>
      <c r="H369" s="145"/>
      <c r="I369" s="148"/>
      <c r="J369" s="148"/>
      <c r="K369" s="148"/>
      <c r="L369" s="145"/>
      <c r="M369" s="145"/>
      <c r="N369" s="145"/>
      <c r="O369" s="145"/>
      <c r="P369" s="145"/>
      <c r="Q369" s="145"/>
      <c r="W369" s="1"/>
    </row>
    <row r="370" spans="1:23" s="68" customFormat="1" ht="24">
      <c r="A370" s="348">
        <f t="shared" si="6"/>
        <v>347</v>
      </c>
      <c r="B370" s="378" t="s">
        <v>149</v>
      </c>
      <c r="C370" s="377" t="s">
        <v>1033</v>
      </c>
      <c r="D370" s="378" t="s">
        <v>1032</v>
      </c>
      <c r="E370" s="378" t="s">
        <v>1781</v>
      </c>
      <c r="F370" s="354">
        <v>40</v>
      </c>
      <c r="G370" s="378"/>
      <c r="H370" s="145"/>
      <c r="I370" s="148"/>
      <c r="J370" s="148"/>
      <c r="K370" s="148"/>
      <c r="L370" s="145"/>
      <c r="M370" s="145"/>
      <c r="N370" s="145"/>
      <c r="O370" s="145"/>
      <c r="P370" s="145"/>
      <c r="Q370" s="145"/>
      <c r="W370" s="1"/>
    </row>
    <row r="371" spans="1:23" s="68" customFormat="1">
      <c r="A371" s="348">
        <f t="shared" si="6"/>
        <v>348</v>
      </c>
      <c r="B371" s="378" t="s">
        <v>149</v>
      </c>
      <c r="C371" s="377" t="s">
        <v>1034</v>
      </c>
      <c r="D371" s="378"/>
      <c r="E371" s="434" t="s">
        <v>100</v>
      </c>
      <c r="F371" s="379">
        <v>1</v>
      </c>
      <c r="G371" s="557"/>
      <c r="H371" s="145"/>
      <c r="I371" s="148"/>
      <c r="J371" s="148"/>
      <c r="K371" s="148"/>
      <c r="L371" s="145"/>
      <c r="M371" s="145"/>
      <c r="N371" s="145"/>
      <c r="O371" s="145"/>
      <c r="P371" s="145"/>
      <c r="Q371" s="145"/>
      <c r="W371" s="1"/>
    </row>
    <row r="372" spans="1:23" s="68" customFormat="1">
      <c r="A372" s="348">
        <f t="shared" si="6"/>
        <v>349</v>
      </c>
      <c r="B372" s="378" t="s">
        <v>149</v>
      </c>
      <c r="C372" s="561" t="s">
        <v>1035</v>
      </c>
      <c r="D372" s="434"/>
      <c r="E372" s="434" t="s">
        <v>100</v>
      </c>
      <c r="F372" s="379">
        <v>1</v>
      </c>
      <c r="G372" s="557"/>
      <c r="H372" s="145"/>
      <c r="I372" s="148"/>
      <c r="J372" s="148"/>
      <c r="K372" s="148"/>
      <c r="L372" s="145"/>
      <c r="M372" s="145"/>
      <c r="N372" s="145"/>
      <c r="O372" s="145"/>
      <c r="P372" s="145"/>
      <c r="Q372" s="145"/>
      <c r="W372" s="1"/>
    </row>
    <row r="373" spans="1:23" s="68" customFormat="1">
      <c r="A373" s="348">
        <f t="shared" si="6"/>
        <v>350</v>
      </c>
      <c r="B373" s="378" t="s">
        <v>149</v>
      </c>
      <c r="C373" s="561" t="s">
        <v>1036</v>
      </c>
      <c r="D373" s="434"/>
      <c r="E373" s="434" t="s">
        <v>100</v>
      </c>
      <c r="F373" s="379">
        <v>1</v>
      </c>
      <c r="G373" s="557"/>
      <c r="H373" s="145"/>
      <c r="I373" s="148"/>
      <c r="J373" s="148"/>
      <c r="K373" s="148"/>
      <c r="L373" s="145"/>
      <c r="M373" s="145"/>
      <c r="N373" s="145"/>
      <c r="O373" s="145"/>
      <c r="P373" s="145"/>
      <c r="Q373" s="145"/>
      <c r="W373" s="1"/>
    </row>
    <row r="374" spans="1:23" s="68" customFormat="1">
      <c r="A374" s="348">
        <f t="shared" si="6"/>
        <v>351</v>
      </c>
      <c r="B374" s="378" t="s">
        <v>149</v>
      </c>
      <c r="C374" s="561" t="s">
        <v>935</v>
      </c>
      <c r="D374" s="434"/>
      <c r="E374" s="434" t="s">
        <v>100</v>
      </c>
      <c r="F374" s="379">
        <v>1</v>
      </c>
      <c r="G374" s="557"/>
      <c r="H374" s="145"/>
      <c r="I374" s="148"/>
      <c r="J374" s="148"/>
      <c r="K374" s="148"/>
      <c r="L374" s="145"/>
      <c r="M374" s="145"/>
      <c r="N374" s="145"/>
      <c r="O374" s="145"/>
      <c r="P374" s="145"/>
      <c r="Q374" s="145"/>
      <c r="W374" s="1"/>
    </row>
    <row r="375" spans="1:23" s="68" customFormat="1">
      <c r="A375" s="348">
        <f t="shared" si="6"/>
        <v>352</v>
      </c>
      <c r="B375" s="378" t="s">
        <v>149</v>
      </c>
      <c r="C375" s="561" t="s">
        <v>936</v>
      </c>
      <c r="D375" s="434"/>
      <c r="E375" s="434" t="s">
        <v>100</v>
      </c>
      <c r="F375" s="379">
        <v>1</v>
      </c>
      <c r="G375" s="557"/>
      <c r="H375" s="145"/>
      <c r="I375" s="148"/>
      <c r="J375" s="148"/>
      <c r="K375" s="148"/>
      <c r="L375" s="145"/>
      <c r="M375" s="145"/>
      <c r="N375" s="145"/>
      <c r="O375" s="145"/>
      <c r="P375" s="145"/>
      <c r="Q375" s="145"/>
      <c r="W375" s="1"/>
    </row>
    <row r="376" spans="1:23" s="68" customFormat="1">
      <c r="A376" s="348">
        <f t="shared" si="6"/>
        <v>353</v>
      </c>
      <c r="B376" s="378" t="s">
        <v>149</v>
      </c>
      <c r="C376" s="561" t="s">
        <v>1037</v>
      </c>
      <c r="D376" s="434"/>
      <c r="E376" s="434" t="s">
        <v>100</v>
      </c>
      <c r="F376" s="379">
        <v>1</v>
      </c>
      <c r="G376" s="557"/>
      <c r="H376" s="145"/>
      <c r="I376" s="148"/>
      <c r="J376" s="148"/>
      <c r="K376" s="148"/>
      <c r="L376" s="145"/>
      <c r="M376" s="145"/>
      <c r="N376" s="145"/>
      <c r="O376" s="145"/>
      <c r="P376" s="145"/>
      <c r="Q376" s="145"/>
      <c r="W376" s="1"/>
    </row>
    <row r="377" spans="1:23" s="68" customFormat="1">
      <c r="A377" s="348">
        <f t="shared" si="6"/>
        <v>354</v>
      </c>
      <c r="B377" s="378" t="s">
        <v>149</v>
      </c>
      <c r="C377" s="575" t="s">
        <v>982</v>
      </c>
      <c r="D377" s="378"/>
      <c r="E377" s="573" t="s">
        <v>100</v>
      </c>
      <c r="F377" s="354">
        <v>1</v>
      </c>
      <c r="G377" s="435"/>
      <c r="H377" s="145"/>
      <c r="I377" s="148"/>
      <c r="J377" s="148"/>
      <c r="K377" s="148"/>
      <c r="L377" s="145"/>
      <c r="M377" s="145"/>
      <c r="N377" s="145"/>
      <c r="O377" s="145"/>
      <c r="P377" s="145"/>
      <c r="Q377" s="145"/>
      <c r="W377" s="1"/>
    </row>
    <row r="378" spans="1:23" s="68" customFormat="1">
      <c r="A378" s="380">
        <f t="shared" si="6"/>
        <v>355</v>
      </c>
      <c r="B378" s="382" t="s">
        <v>149</v>
      </c>
      <c r="C378" s="381" t="s">
        <v>981</v>
      </c>
      <c r="D378" s="492"/>
      <c r="E378" s="492" t="s">
        <v>100</v>
      </c>
      <c r="F378" s="383">
        <v>1</v>
      </c>
      <c r="G378" s="564"/>
      <c r="H378" s="150"/>
      <c r="I378" s="151"/>
      <c r="J378" s="151"/>
      <c r="K378" s="151"/>
      <c r="L378" s="150"/>
      <c r="M378" s="150"/>
      <c r="N378" s="150"/>
      <c r="O378" s="150"/>
      <c r="P378" s="150"/>
      <c r="Q378" s="150"/>
      <c r="W378" s="1"/>
    </row>
    <row r="379" spans="1:23" s="68" customFormat="1">
      <c r="A379" s="370"/>
      <c r="B379" s="500"/>
      <c r="C379" s="371" t="s">
        <v>1103</v>
      </c>
      <c r="D379" s="547"/>
      <c r="E379" s="547"/>
      <c r="F379" s="580"/>
      <c r="G379" s="547"/>
      <c r="H379" s="135"/>
      <c r="I379" s="152"/>
      <c r="J379" s="152"/>
      <c r="K379" s="152"/>
      <c r="L379" s="135"/>
      <c r="M379" s="135"/>
      <c r="N379" s="135"/>
      <c r="O379" s="135"/>
      <c r="P379" s="135"/>
      <c r="Q379" s="135"/>
      <c r="W379" s="1"/>
    </row>
    <row r="380" spans="1:23" s="68" customFormat="1" ht="48">
      <c r="A380" s="385">
        <f>A378+1</f>
        <v>356</v>
      </c>
      <c r="B380" s="387" t="s">
        <v>149</v>
      </c>
      <c r="C380" s="551" t="s">
        <v>1104</v>
      </c>
      <c r="D380" s="387" t="s">
        <v>1105</v>
      </c>
      <c r="E380" s="571" t="s">
        <v>90</v>
      </c>
      <c r="F380" s="433">
        <v>1</v>
      </c>
      <c r="G380" s="572"/>
      <c r="H380" s="146"/>
      <c r="I380" s="149"/>
      <c r="J380" s="149"/>
      <c r="K380" s="149"/>
      <c r="L380" s="146"/>
      <c r="M380" s="146"/>
      <c r="N380" s="146"/>
      <c r="O380" s="146"/>
      <c r="P380" s="146"/>
      <c r="Q380" s="146"/>
      <c r="W380" s="1"/>
    </row>
    <row r="381" spans="1:23" s="68" customFormat="1" ht="24">
      <c r="A381" s="348">
        <f>A380+1</f>
        <v>357</v>
      </c>
      <c r="B381" s="378" t="s">
        <v>149</v>
      </c>
      <c r="C381" s="377" t="s">
        <v>1040</v>
      </c>
      <c r="D381" s="378" t="s">
        <v>1062</v>
      </c>
      <c r="E381" s="573" t="s">
        <v>93</v>
      </c>
      <c r="F381" s="354">
        <v>1</v>
      </c>
      <c r="G381" s="378"/>
      <c r="H381" s="145"/>
      <c r="I381" s="148"/>
      <c r="J381" s="148"/>
      <c r="K381" s="148"/>
      <c r="L381" s="145"/>
      <c r="M381" s="145"/>
      <c r="N381" s="145"/>
      <c r="O381" s="145"/>
      <c r="P381" s="145"/>
      <c r="Q381" s="145"/>
      <c r="W381" s="1"/>
    </row>
    <row r="382" spans="1:23" s="68" customFormat="1" ht="24">
      <c r="A382" s="348">
        <f t="shared" ref="A382:A444" si="7">A381+1</f>
        <v>358</v>
      </c>
      <c r="B382" s="378" t="s">
        <v>149</v>
      </c>
      <c r="C382" s="377" t="s">
        <v>1106</v>
      </c>
      <c r="D382" s="378" t="s">
        <v>1107</v>
      </c>
      <c r="E382" s="573" t="s">
        <v>90</v>
      </c>
      <c r="F382" s="354">
        <v>2</v>
      </c>
      <c r="G382" s="378"/>
      <c r="H382" s="145"/>
      <c r="I382" s="148"/>
      <c r="J382" s="148"/>
      <c r="K382" s="148"/>
      <c r="L382" s="145"/>
      <c r="M382" s="145"/>
      <c r="N382" s="145"/>
      <c r="O382" s="145"/>
      <c r="P382" s="145"/>
      <c r="Q382" s="145"/>
      <c r="W382" s="1"/>
    </row>
    <row r="383" spans="1:23" s="68" customFormat="1" ht="24">
      <c r="A383" s="348">
        <f t="shared" si="7"/>
        <v>359</v>
      </c>
      <c r="B383" s="378" t="s">
        <v>149</v>
      </c>
      <c r="C383" s="377" t="s">
        <v>1108</v>
      </c>
      <c r="D383" s="378" t="s">
        <v>1109</v>
      </c>
      <c r="E383" s="573" t="s">
        <v>90</v>
      </c>
      <c r="F383" s="354">
        <v>2</v>
      </c>
      <c r="G383" s="378"/>
      <c r="H383" s="145"/>
      <c r="I383" s="148"/>
      <c r="J383" s="148"/>
      <c r="K383" s="148"/>
      <c r="L383" s="145"/>
      <c r="M383" s="145"/>
      <c r="N383" s="145"/>
      <c r="O383" s="145"/>
      <c r="P383" s="145"/>
      <c r="Q383" s="145"/>
      <c r="W383" s="1"/>
    </row>
    <row r="384" spans="1:23" s="68" customFormat="1" ht="36">
      <c r="A384" s="348">
        <f t="shared" si="7"/>
        <v>360</v>
      </c>
      <c r="B384" s="378" t="s">
        <v>149</v>
      </c>
      <c r="C384" s="377" t="s">
        <v>989</v>
      </c>
      <c r="D384" s="378" t="s">
        <v>1110</v>
      </c>
      <c r="E384" s="573" t="s">
        <v>93</v>
      </c>
      <c r="F384" s="354">
        <v>2</v>
      </c>
      <c r="G384" s="378"/>
      <c r="H384" s="145"/>
      <c r="I384" s="148"/>
      <c r="J384" s="148"/>
      <c r="K384" s="148"/>
      <c r="L384" s="145"/>
      <c r="M384" s="145"/>
      <c r="N384" s="145"/>
      <c r="O384" s="145"/>
      <c r="P384" s="145"/>
      <c r="Q384" s="145"/>
      <c r="W384" s="1"/>
    </row>
    <row r="385" spans="1:23" s="68" customFormat="1" ht="24">
      <c r="A385" s="348">
        <f t="shared" si="7"/>
        <v>361</v>
      </c>
      <c r="B385" s="378" t="s">
        <v>149</v>
      </c>
      <c r="C385" s="377" t="s">
        <v>992</v>
      </c>
      <c r="D385" s="378" t="s">
        <v>1111</v>
      </c>
      <c r="E385" s="573" t="s">
        <v>93</v>
      </c>
      <c r="F385" s="354">
        <v>1</v>
      </c>
      <c r="G385" s="378"/>
      <c r="H385" s="145"/>
      <c r="I385" s="148"/>
      <c r="J385" s="148"/>
      <c r="K385" s="148"/>
      <c r="L385" s="145"/>
      <c r="M385" s="145"/>
      <c r="N385" s="145"/>
      <c r="O385" s="145"/>
      <c r="P385" s="145"/>
      <c r="Q385" s="145"/>
      <c r="W385" s="1"/>
    </row>
    <row r="386" spans="1:23" s="68" customFormat="1" ht="24">
      <c r="A386" s="348">
        <f t="shared" si="7"/>
        <v>362</v>
      </c>
      <c r="B386" s="378" t="s">
        <v>149</v>
      </c>
      <c r="C386" s="377" t="s">
        <v>992</v>
      </c>
      <c r="D386" s="378" t="s">
        <v>1112</v>
      </c>
      <c r="E386" s="573" t="s">
        <v>93</v>
      </c>
      <c r="F386" s="354">
        <v>5</v>
      </c>
      <c r="G386" s="378"/>
      <c r="H386" s="145"/>
      <c r="I386" s="148"/>
      <c r="J386" s="148"/>
      <c r="K386" s="148"/>
      <c r="L386" s="145"/>
      <c r="M386" s="145"/>
      <c r="N386" s="145"/>
      <c r="O386" s="145"/>
      <c r="P386" s="145"/>
      <c r="Q386" s="145"/>
      <c r="W386" s="1"/>
    </row>
    <row r="387" spans="1:23" s="68" customFormat="1">
      <c r="A387" s="348">
        <f t="shared" si="7"/>
        <v>363</v>
      </c>
      <c r="B387" s="378" t="s">
        <v>149</v>
      </c>
      <c r="C387" s="377" t="s">
        <v>992</v>
      </c>
      <c r="D387" s="378" t="s">
        <v>1044</v>
      </c>
      <c r="E387" s="573" t="s">
        <v>93</v>
      </c>
      <c r="F387" s="379">
        <v>10</v>
      </c>
      <c r="G387" s="464"/>
      <c r="H387" s="145"/>
      <c r="I387" s="148"/>
      <c r="J387" s="148"/>
      <c r="K387" s="148"/>
      <c r="L387" s="145"/>
      <c r="M387" s="145"/>
      <c r="N387" s="145"/>
      <c r="O387" s="145"/>
      <c r="P387" s="145"/>
      <c r="Q387" s="145"/>
      <c r="W387" s="1"/>
    </row>
    <row r="388" spans="1:23" s="68" customFormat="1">
      <c r="A388" s="348">
        <f t="shared" si="7"/>
        <v>364</v>
      </c>
      <c r="B388" s="378" t="s">
        <v>149</v>
      </c>
      <c r="C388" s="377" t="s">
        <v>992</v>
      </c>
      <c r="D388" s="378" t="s">
        <v>993</v>
      </c>
      <c r="E388" s="573" t="s">
        <v>93</v>
      </c>
      <c r="F388" s="379">
        <v>3</v>
      </c>
      <c r="G388" s="464"/>
      <c r="H388" s="145"/>
      <c r="I388" s="148"/>
      <c r="J388" s="148"/>
      <c r="K388" s="148"/>
      <c r="L388" s="145"/>
      <c r="M388" s="145"/>
      <c r="N388" s="145"/>
      <c r="O388" s="145"/>
      <c r="P388" s="145"/>
      <c r="Q388" s="145"/>
      <c r="W388" s="1"/>
    </row>
    <row r="389" spans="1:23" s="68" customFormat="1">
      <c r="A389" s="348">
        <f t="shared" si="7"/>
        <v>365</v>
      </c>
      <c r="B389" s="378" t="s">
        <v>149</v>
      </c>
      <c r="C389" s="377" t="s">
        <v>992</v>
      </c>
      <c r="D389" s="378" t="s">
        <v>994</v>
      </c>
      <c r="E389" s="573" t="s">
        <v>93</v>
      </c>
      <c r="F389" s="379">
        <v>16</v>
      </c>
      <c r="G389" s="464"/>
      <c r="H389" s="145"/>
      <c r="I389" s="148"/>
      <c r="J389" s="148"/>
      <c r="K389" s="148"/>
      <c r="L389" s="145"/>
      <c r="M389" s="145"/>
      <c r="N389" s="145"/>
      <c r="O389" s="145"/>
      <c r="P389" s="145"/>
      <c r="Q389" s="145"/>
      <c r="W389" s="1"/>
    </row>
    <row r="390" spans="1:23" s="68" customFormat="1">
      <c r="A390" s="348">
        <f t="shared" si="7"/>
        <v>366</v>
      </c>
      <c r="B390" s="378" t="s">
        <v>149</v>
      </c>
      <c r="C390" s="377" t="s">
        <v>992</v>
      </c>
      <c r="D390" s="378" t="s">
        <v>1045</v>
      </c>
      <c r="E390" s="573" t="s">
        <v>93</v>
      </c>
      <c r="F390" s="379">
        <v>9</v>
      </c>
      <c r="G390" s="464"/>
      <c r="H390" s="145"/>
      <c r="I390" s="148"/>
      <c r="J390" s="148"/>
      <c r="K390" s="148"/>
      <c r="L390" s="145"/>
      <c r="M390" s="145"/>
      <c r="N390" s="145"/>
      <c r="O390" s="145"/>
      <c r="P390" s="145"/>
      <c r="Q390" s="145"/>
      <c r="W390" s="1"/>
    </row>
    <row r="391" spans="1:23" s="68" customFormat="1">
      <c r="A391" s="348">
        <f t="shared" si="7"/>
        <v>367</v>
      </c>
      <c r="B391" s="378" t="s">
        <v>149</v>
      </c>
      <c r="C391" s="377" t="s">
        <v>992</v>
      </c>
      <c r="D391" s="378" t="s">
        <v>1113</v>
      </c>
      <c r="E391" s="573" t="s">
        <v>93</v>
      </c>
      <c r="F391" s="379">
        <v>1</v>
      </c>
      <c r="G391" s="464"/>
      <c r="H391" s="145"/>
      <c r="I391" s="148"/>
      <c r="J391" s="148"/>
      <c r="K391" s="148"/>
      <c r="L391" s="145"/>
      <c r="M391" s="145"/>
      <c r="N391" s="145"/>
      <c r="O391" s="145"/>
      <c r="P391" s="145"/>
      <c r="Q391" s="145"/>
      <c r="W391" s="1"/>
    </row>
    <row r="392" spans="1:23" s="68" customFormat="1">
      <c r="A392" s="348">
        <f t="shared" si="7"/>
        <v>368</v>
      </c>
      <c r="B392" s="378" t="s">
        <v>149</v>
      </c>
      <c r="C392" s="561" t="s">
        <v>999</v>
      </c>
      <c r="D392" s="378" t="s">
        <v>1114</v>
      </c>
      <c r="E392" s="573" t="s">
        <v>93</v>
      </c>
      <c r="F392" s="379">
        <v>5</v>
      </c>
      <c r="G392" s="464"/>
      <c r="H392" s="145"/>
      <c r="I392" s="148"/>
      <c r="J392" s="148"/>
      <c r="K392" s="148"/>
      <c r="L392" s="145"/>
      <c r="M392" s="145"/>
      <c r="N392" s="145"/>
      <c r="O392" s="145"/>
      <c r="P392" s="145"/>
      <c r="Q392" s="145"/>
      <c r="W392" s="1"/>
    </row>
    <row r="393" spans="1:23" s="68" customFormat="1">
      <c r="A393" s="348">
        <f t="shared" si="7"/>
        <v>369</v>
      </c>
      <c r="B393" s="378" t="s">
        <v>149</v>
      </c>
      <c r="C393" s="561" t="s">
        <v>999</v>
      </c>
      <c r="D393" s="378" t="s">
        <v>1115</v>
      </c>
      <c r="E393" s="573" t="s">
        <v>93</v>
      </c>
      <c r="F393" s="379">
        <v>30</v>
      </c>
      <c r="G393" s="464"/>
      <c r="H393" s="145"/>
      <c r="I393" s="148"/>
      <c r="J393" s="148"/>
      <c r="K393" s="148"/>
      <c r="L393" s="145"/>
      <c r="M393" s="145"/>
      <c r="N393" s="145"/>
      <c r="O393" s="145"/>
      <c r="P393" s="145"/>
      <c r="Q393" s="145"/>
      <c r="W393" s="1"/>
    </row>
    <row r="394" spans="1:23" s="68" customFormat="1" ht="24">
      <c r="A394" s="348">
        <f t="shared" si="7"/>
        <v>370</v>
      </c>
      <c r="B394" s="378" t="s">
        <v>149</v>
      </c>
      <c r="C394" s="561" t="s">
        <v>999</v>
      </c>
      <c r="D394" s="378" t="s">
        <v>1116</v>
      </c>
      <c r="E394" s="573" t="s">
        <v>93</v>
      </c>
      <c r="F394" s="354">
        <v>2</v>
      </c>
      <c r="G394" s="378"/>
      <c r="H394" s="145"/>
      <c r="I394" s="148"/>
      <c r="J394" s="148"/>
      <c r="K394" s="148"/>
      <c r="L394" s="145"/>
      <c r="M394" s="145"/>
      <c r="N394" s="145"/>
      <c r="O394" s="145"/>
      <c r="P394" s="145"/>
      <c r="Q394" s="145"/>
      <c r="W394" s="1"/>
    </row>
    <row r="395" spans="1:23" s="68" customFormat="1">
      <c r="A395" s="348">
        <f t="shared" si="7"/>
        <v>371</v>
      </c>
      <c r="B395" s="378" t="s">
        <v>149</v>
      </c>
      <c r="C395" s="561" t="s">
        <v>1008</v>
      </c>
      <c r="D395" s="464" t="s">
        <v>1117</v>
      </c>
      <c r="E395" s="573" t="s">
        <v>93</v>
      </c>
      <c r="F395" s="379">
        <v>12</v>
      </c>
      <c r="G395" s="464"/>
      <c r="H395" s="145"/>
      <c r="I395" s="148"/>
      <c r="J395" s="148"/>
      <c r="K395" s="148"/>
      <c r="L395" s="145"/>
      <c r="M395" s="145"/>
      <c r="N395" s="145"/>
      <c r="O395" s="145"/>
      <c r="P395" s="145"/>
      <c r="Q395" s="145"/>
      <c r="W395" s="1"/>
    </row>
    <row r="396" spans="1:23" s="68" customFormat="1">
      <c r="A396" s="348">
        <f t="shared" si="7"/>
        <v>372</v>
      </c>
      <c r="B396" s="378" t="s">
        <v>149</v>
      </c>
      <c r="C396" s="561" t="s">
        <v>1008</v>
      </c>
      <c r="D396" s="464" t="s">
        <v>1118</v>
      </c>
      <c r="E396" s="573" t="s">
        <v>93</v>
      </c>
      <c r="F396" s="379">
        <v>12</v>
      </c>
      <c r="G396" s="464"/>
      <c r="H396" s="145"/>
      <c r="I396" s="148"/>
      <c r="J396" s="148"/>
      <c r="K396" s="148"/>
      <c r="L396" s="145"/>
      <c r="M396" s="145"/>
      <c r="N396" s="145"/>
      <c r="O396" s="145"/>
      <c r="P396" s="145"/>
      <c r="Q396" s="145"/>
      <c r="W396" s="1"/>
    </row>
    <row r="397" spans="1:23" s="68" customFormat="1">
      <c r="A397" s="348">
        <f t="shared" si="7"/>
        <v>373</v>
      </c>
      <c r="B397" s="378" t="s">
        <v>149</v>
      </c>
      <c r="C397" s="561" t="s">
        <v>1008</v>
      </c>
      <c r="D397" s="464" t="s">
        <v>1119</v>
      </c>
      <c r="E397" s="573" t="s">
        <v>93</v>
      </c>
      <c r="F397" s="379">
        <v>6</v>
      </c>
      <c r="G397" s="464"/>
      <c r="H397" s="145"/>
      <c r="I397" s="148"/>
      <c r="J397" s="148"/>
      <c r="K397" s="148"/>
      <c r="L397" s="145"/>
      <c r="M397" s="145"/>
      <c r="N397" s="145"/>
      <c r="O397" s="145"/>
      <c r="P397" s="145"/>
      <c r="Q397" s="145"/>
      <c r="W397" s="1"/>
    </row>
    <row r="398" spans="1:23" s="68" customFormat="1">
      <c r="A398" s="348">
        <f t="shared" si="7"/>
        <v>374</v>
      </c>
      <c r="B398" s="378" t="s">
        <v>149</v>
      </c>
      <c r="C398" s="561" t="s">
        <v>1008</v>
      </c>
      <c r="D398" s="464" t="s">
        <v>1120</v>
      </c>
      <c r="E398" s="573" t="s">
        <v>93</v>
      </c>
      <c r="F398" s="354">
        <v>1</v>
      </c>
      <c r="G398" s="378"/>
      <c r="H398" s="145"/>
      <c r="I398" s="148"/>
      <c r="J398" s="148"/>
      <c r="K398" s="148"/>
      <c r="L398" s="145"/>
      <c r="M398" s="145"/>
      <c r="N398" s="145"/>
      <c r="O398" s="145"/>
      <c r="P398" s="145"/>
      <c r="Q398" s="145"/>
      <c r="W398" s="1"/>
    </row>
    <row r="399" spans="1:23" s="68" customFormat="1">
      <c r="A399" s="348">
        <f t="shared" si="7"/>
        <v>375</v>
      </c>
      <c r="B399" s="378" t="s">
        <v>149</v>
      </c>
      <c r="C399" s="561" t="s">
        <v>1008</v>
      </c>
      <c r="D399" s="464" t="s">
        <v>1121</v>
      </c>
      <c r="E399" s="573" t="s">
        <v>93</v>
      </c>
      <c r="F399" s="354">
        <v>4</v>
      </c>
      <c r="G399" s="378"/>
      <c r="H399" s="145"/>
      <c r="I399" s="148"/>
      <c r="J399" s="148"/>
      <c r="K399" s="148"/>
      <c r="L399" s="145"/>
      <c r="M399" s="145"/>
      <c r="N399" s="145"/>
      <c r="O399" s="145"/>
      <c r="P399" s="145"/>
      <c r="Q399" s="145"/>
      <c r="W399" s="1"/>
    </row>
    <row r="400" spans="1:23" s="68" customFormat="1">
      <c r="A400" s="348">
        <f t="shared" si="7"/>
        <v>376</v>
      </c>
      <c r="B400" s="378" t="s">
        <v>149</v>
      </c>
      <c r="C400" s="561" t="s">
        <v>1008</v>
      </c>
      <c r="D400" s="464" t="s">
        <v>1092</v>
      </c>
      <c r="E400" s="573" t="s">
        <v>93</v>
      </c>
      <c r="F400" s="379">
        <v>1</v>
      </c>
      <c r="G400" s="464"/>
      <c r="H400" s="145"/>
      <c r="I400" s="148"/>
      <c r="J400" s="148"/>
      <c r="K400" s="148"/>
      <c r="L400" s="145"/>
      <c r="M400" s="145"/>
      <c r="N400" s="145"/>
      <c r="O400" s="145"/>
      <c r="P400" s="145"/>
      <c r="Q400" s="145"/>
      <c r="W400" s="1"/>
    </row>
    <row r="401" spans="1:23" s="68" customFormat="1">
      <c r="A401" s="348">
        <f t="shared" si="7"/>
        <v>377</v>
      </c>
      <c r="B401" s="378" t="s">
        <v>149</v>
      </c>
      <c r="C401" s="561" t="s">
        <v>1008</v>
      </c>
      <c r="D401" s="464" t="s">
        <v>1122</v>
      </c>
      <c r="E401" s="573" t="s">
        <v>93</v>
      </c>
      <c r="F401" s="379">
        <v>3</v>
      </c>
      <c r="G401" s="464"/>
      <c r="H401" s="145"/>
      <c r="I401" s="148"/>
      <c r="J401" s="148"/>
      <c r="K401" s="148"/>
      <c r="L401" s="145"/>
      <c r="M401" s="145"/>
      <c r="N401" s="145"/>
      <c r="O401" s="145"/>
      <c r="P401" s="145"/>
      <c r="Q401" s="145"/>
      <c r="W401" s="1"/>
    </row>
    <row r="402" spans="1:23" s="68" customFormat="1">
      <c r="A402" s="348">
        <f t="shared" si="7"/>
        <v>378</v>
      </c>
      <c r="B402" s="378" t="s">
        <v>149</v>
      </c>
      <c r="C402" s="561" t="s">
        <v>1008</v>
      </c>
      <c r="D402" s="464" t="s">
        <v>1123</v>
      </c>
      <c r="E402" s="573" t="s">
        <v>93</v>
      </c>
      <c r="F402" s="379">
        <v>15</v>
      </c>
      <c r="G402" s="464"/>
      <c r="H402" s="145"/>
      <c r="I402" s="148"/>
      <c r="J402" s="148"/>
      <c r="K402" s="148"/>
      <c r="L402" s="145"/>
      <c r="M402" s="145"/>
      <c r="N402" s="145"/>
      <c r="O402" s="145"/>
      <c r="P402" s="145"/>
      <c r="Q402" s="145"/>
      <c r="W402" s="1"/>
    </row>
    <row r="403" spans="1:23" s="68" customFormat="1">
      <c r="A403" s="348">
        <f t="shared" si="7"/>
        <v>379</v>
      </c>
      <c r="B403" s="378" t="s">
        <v>149</v>
      </c>
      <c r="C403" s="561" t="s">
        <v>1008</v>
      </c>
      <c r="D403" s="464" t="s">
        <v>1066</v>
      </c>
      <c r="E403" s="573" t="s">
        <v>93</v>
      </c>
      <c r="F403" s="379">
        <v>1</v>
      </c>
      <c r="G403" s="464"/>
      <c r="H403" s="145"/>
      <c r="I403" s="148"/>
      <c r="J403" s="148"/>
      <c r="K403" s="148"/>
      <c r="L403" s="145"/>
      <c r="M403" s="145"/>
      <c r="N403" s="145"/>
      <c r="O403" s="145"/>
      <c r="P403" s="145"/>
      <c r="Q403" s="145"/>
      <c r="W403" s="1"/>
    </row>
    <row r="404" spans="1:23" s="68" customFormat="1">
      <c r="A404" s="348">
        <f t="shared" si="7"/>
        <v>380</v>
      </c>
      <c r="B404" s="378" t="s">
        <v>149</v>
      </c>
      <c r="C404" s="561" t="s">
        <v>1008</v>
      </c>
      <c r="D404" s="464" t="s">
        <v>1067</v>
      </c>
      <c r="E404" s="573" t="s">
        <v>93</v>
      </c>
      <c r="F404" s="379">
        <v>1</v>
      </c>
      <c r="G404" s="464"/>
      <c r="H404" s="145"/>
      <c r="I404" s="148"/>
      <c r="J404" s="148"/>
      <c r="K404" s="148"/>
      <c r="L404" s="145"/>
      <c r="M404" s="145"/>
      <c r="N404" s="145"/>
      <c r="O404" s="145"/>
      <c r="P404" s="145"/>
      <c r="Q404" s="145"/>
      <c r="W404" s="1"/>
    </row>
    <row r="405" spans="1:23" s="68" customFormat="1">
      <c r="A405" s="348">
        <f t="shared" si="7"/>
        <v>381</v>
      </c>
      <c r="B405" s="378" t="s">
        <v>149</v>
      </c>
      <c r="C405" s="377" t="s">
        <v>1013</v>
      </c>
      <c r="D405" s="573" t="s">
        <v>1052</v>
      </c>
      <c r="E405" s="573" t="s">
        <v>77</v>
      </c>
      <c r="F405" s="379">
        <v>27</v>
      </c>
      <c r="G405" s="464"/>
      <c r="H405" s="145"/>
      <c r="I405" s="148"/>
      <c r="J405" s="148"/>
      <c r="K405" s="148"/>
      <c r="L405" s="145"/>
      <c r="M405" s="145"/>
      <c r="N405" s="145"/>
      <c r="O405" s="145"/>
      <c r="P405" s="145"/>
      <c r="Q405" s="145"/>
      <c r="W405" s="1"/>
    </row>
    <row r="406" spans="1:23" s="68" customFormat="1">
      <c r="A406" s="348">
        <f t="shared" si="7"/>
        <v>382</v>
      </c>
      <c r="B406" s="378" t="s">
        <v>149</v>
      </c>
      <c r="C406" s="377" t="s">
        <v>1013</v>
      </c>
      <c r="D406" s="573" t="s">
        <v>1014</v>
      </c>
      <c r="E406" s="573" t="s">
        <v>77</v>
      </c>
      <c r="F406" s="379">
        <v>3</v>
      </c>
      <c r="G406" s="464"/>
      <c r="H406" s="145"/>
      <c r="I406" s="148"/>
      <c r="J406" s="148"/>
      <c r="K406" s="148"/>
      <c r="L406" s="145"/>
      <c r="M406" s="145"/>
      <c r="N406" s="145"/>
      <c r="O406" s="145"/>
      <c r="P406" s="145"/>
      <c r="Q406" s="145"/>
      <c r="W406" s="1"/>
    </row>
    <row r="407" spans="1:23" s="68" customFormat="1">
      <c r="A407" s="348">
        <f t="shared" si="7"/>
        <v>383</v>
      </c>
      <c r="B407" s="378" t="s">
        <v>149</v>
      </c>
      <c r="C407" s="377" t="s">
        <v>1013</v>
      </c>
      <c r="D407" s="573" t="s">
        <v>1015</v>
      </c>
      <c r="E407" s="573" t="s">
        <v>77</v>
      </c>
      <c r="F407" s="379">
        <v>68</v>
      </c>
      <c r="G407" s="464"/>
      <c r="H407" s="145"/>
      <c r="I407" s="148"/>
      <c r="J407" s="148"/>
      <c r="K407" s="148"/>
      <c r="L407" s="145"/>
      <c r="M407" s="145"/>
      <c r="N407" s="145"/>
      <c r="O407" s="145"/>
      <c r="P407" s="145"/>
      <c r="Q407" s="145"/>
      <c r="W407" s="1"/>
    </row>
    <row r="408" spans="1:23" s="68" customFormat="1">
      <c r="A408" s="348">
        <f t="shared" si="7"/>
        <v>384</v>
      </c>
      <c r="B408" s="378" t="s">
        <v>149</v>
      </c>
      <c r="C408" s="377" t="s">
        <v>1013</v>
      </c>
      <c r="D408" s="573" t="s">
        <v>1016</v>
      </c>
      <c r="E408" s="573" t="s">
        <v>77</v>
      </c>
      <c r="F408" s="379">
        <v>122</v>
      </c>
      <c r="G408" s="464"/>
      <c r="H408" s="145"/>
      <c r="I408" s="148"/>
      <c r="J408" s="148"/>
      <c r="K408" s="148"/>
      <c r="L408" s="145"/>
      <c r="M408" s="145"/>
      <c r="N408" s="145"/>
      <c r="O408" s="145"/>
      <c r="P408" s="145"/>
      <c r="Q408" s="145"/>
      <c r="W408" s="1"/>
    </row>
    <row r="409" spans="1:23" s="68" customFormat="1">
      <c r="A409" s="348">
        <f t="shared" si="7"/>
        <v>385</v>
      </c>
      <c r="B409" s="378" t="s">
        <v>149</v>
      </c>
      <c r="C409" s="377" t="s">
        <v>1013</v>
      </c>
      <c r="D409" s="573" t="s">
        <v>1017</v>
      </c>
      <c r="E409" s="573" t="s">
        <v>77</v>
      </c>
      <c r="F409" s="379">
        <v>312</v>
      </c>
      <c r="G409" s="464"/>
      <c r="H409" s="145"/>
      <c r="I409" s="148"/>
      <c r="J409" s="148"/>
      <c r="K409" s="148"/>
      <c r="L409" s="145"/>
      <c r="M409" s="145"/>
      <c r="N409" s="145"/>
      <c r="O409" s="145"/>
      <c r="P409" s="145"/>
      <c r="Q409" s="145"/>
      <c r="W409" s="1"/>
    </row>
    <row r="410" spans="1:23" s="68" customFormat="1">
      <c r="A410" s="348">
        <f t="shared" si="7"/>
        <v>386</v>
      </c>
      <c r="B410" s="378" t="s">
        <v>149</v>
      </c>
      <c r="C410" s="377" t="s">
        <v>1013</v>
      </c>
      <c r="D410" s="573" t="s">
        <v>1124</v>
      </c>
      <c r="E410" s="573" t="s">
        <v>77</v>
      </c>
      <c r="F410" s="379">
        <v>5</v>
      </c>
      <c r="G410" s="464"/>
      <c r="H410" s="145"/>
      <c r="I410" s="148"/>
      <c r="J410" s="148"/>
      <c r="K410" s="148"/>
      <c r="L410" s="145"/>
      <c r="M410" s="145"/>
      <c r="N410" s="145"/>
      <c r="O410" s="145"/>
      <c r="P410" s="145"/>
      <c r="Q410" s="145"/>
      <c r="W410" s="1"/>
    </row>
    <row r="411" spans="1:23" s="68" customFormat="1">
      <c r="A411" s="348">
        <f t="shared" si="7"/>
        <v>387</v>
      </c>
      <c r="B411" s="378" t="s">
        <v>149</v>
      </c>
      <c r="C411" s="377" t="s">
        <v>1013</v>
      </c>
      <c r="D411" s="464" t="s">
        <v>1071</v>
      </c>
      <c r="E411" s="573" t="s">
        <v>77</v>
      </c>
      <c r="F411" s="379">
        <v>1</v>
      </c>
      <c r="G411" s="464"/>
      <c r="H411" s="145"/>
      <c r="I411" s="148"/>
      <c r="J411" s="148"/>
      <c r="K411" s="148"/>
      <c r="L411" s="145"/>
      <c r="M411" s="145"/>
      <c r="N411" s="145"/>
      <c r="O411" s="145"/>
      <c r="P411" s="145"/>
      <c r="Q411" s="145"/>
      <c r="W411" s="1"/>
    </row>
    <row r="412" spans="1:23" s="68" customFormat="1">
      <c r="A412" s="348">
        <f t="shared" si="7"/>
        <v>388</v>
      </c>
      <c r="B412" s="378" t="s">
        <v>149</v>
      </c>
      <c r="C412" s="377" t="s">
        <v>1013</v>
      </c>
      <c r="D412" s="464" t="s">
        <v>1022</v>
      </c>
      <c r="E412" s="573" t="s">
        <v>77</v>
      </c>
      <c r="F412" s="379">
        <v>26</v>
      </c>
      <c r="G412" s="464"/>
      <c r="H412" s="145"/>
      <c r="I412" s="148"/>
      <c r="J412" s="148"/>
      <c r="K412" s="148"/>
      <c r="L412" s="145"/>
      <c r="M412" s="145"/>
      <c r="N412" s="145"/>
      <c r="O412" s="145"/>
      <c r="P412" s="145"/>
      <c r="Q412" s="145"/>
      <c r="W412" s="1"/>
    </row>
    <row r="413" spans="1:23" s="68" customFormat="1">
      <c r="A413" s="348">
        <f t="shared" si="7"/>
        <v>389</v>
      </c>
      <c r="B413" s="378" t="s">
        <v>149</v>
      </c>
      <c r="C413" s="377" t="s">
        <v>1013</v>
      </c>
      <c r="D413" s="464" t="s">
        <v>1024</v>
      </c>
      <c r="E413" s="573" t="s">
        <v>77</v>
      </c>
      <c r="F413" s="379">
        <v>2</v>
      </c>
      <c r="G413" s="464"/>
      <c r="H413" s="145"/>
      <c r="I413" s="148"/>
      <c r="J413" s="148"/>
      <c r="K413" s="148"/>
      <c r="L413" s="145"/>
      <c r="M413" s="145"/>
      <c r="N413" s="145"/>
      <c r="O413" s="145"/>
      <c r="P413" s="145"/>
      <c r="Q413" s="145"/>
      <c r="W413" s="1"/>
    </row>
    <row r="414" spans="1:23" s="68" customFormat="1">
      <c r="A414" s="348">
        <f t="shared" si="7"/>
        <v>390</v>
      </c>
      <c r="B414" s="378" t="s">
        <v>149</v>
      </c>
      <c r="C414" s="377" t="s">
        <v>1013</v>
      </c>
      <c r="D414" s="464" t="s">
        <v>1074</v>
      </c>
      <c r="E414" s="573" t="s">
        <v>77</v>
      </c>
      <c r="F414" s="379">
        <v>1</v>
      </c>
      <c r="G414" s="464"/>
      <c r="H414" s="145"/>
      <c r="I414" s="148"/>
      <c r="J414" s="148"/>
      <c r="K414" s="148"/>
      <c r="L414" s="145"/>
      <c r="M414" s="145"/>
      <c r="N414" s="145"/>
      <c r="O414" s="145"/>
      <c r="P414" s="145"/>
      <c r="Q414" s="145"/>
      <c r="W414" s="1"/>
    </row>
    <row r="415" spans="1:23" s="68" customFormat="1">
      <c r="A415" s="348">
        <f t="shared" si="7"/>
        <v>391</v>
      </c>
      <c r="B415" s="378" t="s">
        <v>149</v>
      </c>
      <c r="C415" s="377" t="s">
        <v>1013</v>
      </c>
      <c r="D415" s="464" t="s">
        <v>1005</v>
      </c>
      <c r="E415" s="573" t="s">
        <v>77</v>
      </c>
      <c r="F415" s="379">
        <v>10</v>
      </c>
      <c r="G415" s="464"/>
      <c r="H415" s="145"/>
      <c r="I415" s="148"/>
      <c r="J415" s="148"/>
      <c r="K415" s="148"/>
      <c r="L415" s="145"/>
      <c r="M415" s="145"/>
      <c r="N415" s="145"/>
      <c r="O415" s="145"/>
      <c r="P415" s="145"/>
      <c r="Q415" s="145"/>
      <c r="W415" s="1"/>
    </row>
    <row r="416" spans="1:23" s="68" customFormat="1">
      <c r="A416" s="348">
        <f t="shared" si="7"/>
        <v>392</v>
      </c>
      <c r="B416" s="378" t="s">
        <v>149</v>
      </c>
      <c r="C416" s="377" t="s">
        <v>1013</v>
      </c>
      <c r="D416" s="464" t="s">
        <v>1098</v>
      </c>
      <c r="E416" s="573" t="s">
        <v>77</v>
      </c>
      <c r="F416" s="379">
        <v>1</v>
      </c>
      <c r="G416" s="464"/>
      <c r="H416" s="145"/>
      <c r="I416" s="148"/>
      <c r="J416" s="148"/>
      <c r="K416" s="148"/>
      <c r="L416" s="145"/>
      <c r="M416" s="145"/>
      <c r="N416" s="145"/>
      <c r="O416" s="145"/>
      <c r="P416" s="145"/>
      <c r="Q416" s="145"/>
      <c r="W416" s="1"/>
    </row>
    <row r="417" spans="1:23" s="68" customFormat="1">
      <c r="A417" s="348">
        <f t="shared" si="7"/>
        <v>393</v>
      </c>
      <c r="B417" s="378" t="s">
        <v>149</v>
      </c>
      <c r="C417" s="377" t="s">
        <v>1013</v>
      </c>
      <c r="D417" s="464" t="s">
        <v>1099</v>
      </c>
      <c r="E417" s="573" t="s">
        <v>77</v>
      </c>
      <c r="F417" s="379">
        <v>3</v>
      </c>
      <c r="G417" s="464"/>
      <c r="H417" s="145"/>
      <c r="I417" s="148"/>
      <c r="J417" s="148"/>
      <c r="K417" s="148"/>
      <c r="L417" s="145"/>
      <c r="M417" s="145"/>
      <c r="N417" s="145"/>
      <c r="O417" s="145"/>
      <c r="P417" s="145"/>
      <c r="Q417" s="145"/>
      <c r="W417" s="1"/>
    </row>
    <row r="418" spans="1:23" s="68" customFormat="1">
      <c r="A418" s="348">
        <f t="shared" si="7"/>
        <v>394</v>
      </c>
      <c r="B418" s="378" t="s">
        <v>149</v>
      </c>
      <c r="C418" s="377" t="s">
        <v>1013</v>
      </c>
      <c r="D418" s="464" t="s">
        <v>1125</v>
      </c>
      <c r="E418" s="573" t="s">
        <v>77</v>
      </c>
      <c r="F418" s="379">
        <v>2</v>
      </c>
      <c r="G418" s="464"/>
      <c r="H418" s="145"/>
      <c r="I418" s="148"/>
      <c r="J418" s="148"/>
      <c r="K418" s="148"/>
      <c r="L418" s="145"/>
      <c r="M418" s="145"/>
      <c r="N418" s="145"/>
      <c r="O418" s="145"/>
      <c r="P418" s="145"/>
      <c r="Q418" s="145"/>
      <c r="W418" s="1"/>
    </row>
    <row r="419" spans="1:23" s="68" customFormat="1">
      <c r="A419" s="348">
        <f t="shared" si="7"/>
        <v>395</v>
      </c>
      <c r="B419" s="378" t="s">
        <v>149</v>
      </c>
      <c r="C419" s="377" t="s">
        <v>1013</v>
      </c>
      <c r="D419" s="464" t="s">
        <v>1078</v>
      </c>
      <c r="E419" s="573" t="s">
        <v>77</v>
      </c>
      <c r="F419" s="379">
        <v>1</v>
      </c>
      <c r="G419" s="464"/>
      <c r="H419" s="145"/>
      <c r="I419" s="148"/>
      <c r="J419" s="148"/>
      <c r="K419" s="148"/>
      <c r="L419" s="145"/>
      <c r="M419" s="145"/>
      <c r="N419" s="145"/>
      <c r="O419" s="145"/>
      <c r="P419" s="145"/>
      <c r="Q419" s="145"/>
      <c r="W419" s="1"/>
    </row>
    <row r="420" spans="1:23" s="68" customFormat="1" ht="24">
      <c r="A420" s="348">
        <f t="shared" si="7"/>
        <v>396</v>
      </c>
      <c r="B420" s="378" t="s">
        <v>149</v>
      </c>
      <c r="C420" s="377" t="s">
        <v>1033</v>
      </c>
      <c r="D420" s="378" t="s">
        <v>1032</v>
      </c>
      <c r="E420" s="378" t="s">
        <v>1781</v>
      </c>
      <c r="F420" s="354">
        <v>20</v>
      </c>
      <c r="G420" s="378"/>
      <c r="H420" s="145"/>
      <c r="I420" s="148"/>
      <c r="J420" s="148"/>
      <c r="K420" s="148"/>
      <c r="L420" s="145"/>
      <c r="M420" s="145"/>
      <c r="N420" s="145"/>
      <c r="O420" s="145"/>
      <c r="P420" s="145"/>
      <c r="Q420" s="145"/>
      <c r="W420" s="1"/>
    </row>
    <row r="421" spans="1:23" s="68" customFormat="1">
      <c r="A421" s="348">
        <f t="shared" si="7"/>
        <v>397</v>
      </c>
      <c r="B421" s="378" t="s">
        <v>149</v>
      </c>
      <c r="C421" s="377" t="s">
        <v>1034</v>
      </c>
      <c r="D421" s="378"/>
      <c r="E421" s="434" t="s">
        <v>100</v>
      </c>
      <c r="F421" s="379">
        <v>1</v>
      </c>
      <c r="G421" s="557"/>
      <c r="H421" s="145"/>
      <c r="I421" s="148"/>
      <c r="J421" s="148"/>
      <c r="K421" s="148"/>
      <c r="L421" s="145"/>
      <c r="M421" s="145"/>
      <c r="N421" s="145"/>
      <c r="O421" s="145"/>
      <c r="P421" s="145"/>
      <c r="Q421" s="145"/>
      <c r="W421" s="1"/>
    </row>
    <row r="422" spans="1:23" s="68" customFormat="1">
      <c r="A422" s="348">
        <f t="shared" si="7"/>
        <v>398</v>
      </c>
      <c r="B422" s="378" t="s">
        <v>149</v>
      </c>
      <c r="C422" s="561" t="s">
        <v>1035</v>
      </c>
      <c r="D422" s="434"/>
      <c r="E422" s="434" t="s">
        <v>100</v>
      </c>
      <c r="F422" s="379">
        <v>1</v>
      </c>
      <c r="G422" s="557"/>
      <c r="H422" s="145"/>
      <c r="I422" s="148"/>
      <c r="J422" s="148"/>
      <c r="K422" s="148"/>
      <c r="L422" s="145"/>
      <c r="M422" s="145"/>
      <c r="N422" s="145"/>
      <c r="O422" s="145"/>
      <c r="P422" s="145"/>
      <c r="Q422" s="145"/>
      <c r="W422" s="1"/>
    </row>
    <row r="423" spans="1:23" s="68" customFormat="1">
      <c r="A423" s="348">
        <f t="shared" si="7"/>
        <v>399</v>
      </c>
      <c r="B423" s="378" t="s">
        <v>149</v>
      </c>
      <c r="C423" s="561" t="s">
        <v>1036</v>
      </c>
      <c r="D423" s="434"/>
      <c r="E423" s="434" t="s">
        <v>100</v>
      </c>
      <c r="F423" s="379">
        <v>1</v>
      </c>
      <c r="G423" s="557"/>
      <c r="H423" s="145"/>
      <c r="I423" s="148"/>
      <c r="J423" s="148"/>
      <c r="K423" s="148"/>
      <c r="L423" s="145"/>
      <c r="M423" s="145"/>
      <c r="N423" s="145"/>
      <c r="O423" s="145"/>
      <c r="P423" s="145"/>
      <c r="Q423" s="145"/>
      <c r="W423" s="1"/>
    </row>
    <row r="424" spans="1:23" s="68" customFormat="1">
      <c r="A424" s="348">
        <f t="shared" si="7"/>
        <v>400</v>
      </c>
      <c r="B424" s="378" t="s">
        <v>149</v>
      </c>
      <c r="C424" s="561" t="s">
        <v>935</v>
      </c>
      <c r="D424" s="434"/>
      <c r="E424" s="434" t="s">
        <v>100</v>
      </c>
      <c r="F424" s="379">
        <v>1</v>
      </c>
      <c r="G424" s="557"/>
      <c r="H424" s="145"/>
      <c r="I424" s="148"/>
      <c r="J424" s="148"/>
      <c r="K424" s="148"/>
      <c r="L424" s="145"/>
      <c r="M424" s="145"/>
      <c r="N424" s="145"/>
      <c r="O424" s="145"/>
      <c r="P424" s="145"/>
      <c r="Q424" s="145"/>
      <c r="W424" s="1"/>
    </row>
    <row r="425" spans="1:23" s="68" customFormat="1">
      <c r="A425" s="348">
        <f t="shared" si="7"/>
        <v>401</v>
      </c>
      <c r="B425" s="378" t="s">
        <v>149</v>
      </c>
      <c r="C425" s="561" t="s">
        <v>936</v>
      </c>
      <c r="D425" s="434"/>
      <c r="E425" s="434" t="s">
        <v>100</v>
      </c>
      <c r="F425" s="379">
        <v>1</v>
      </c>
      <c r="G425" s="557"/>
      <c r="H425" s="145"/>
      <c r="I425" s="148"/>
      <c r="J425" s="148"/>
      <c r="K425" s="148"/>
      <c r="L425" s="145"/>
      <c r="M425" s="145"/>
      <c r="N425" s="145"/>
      <c r="O425" s="145"/>
      <c r="P425" s="145"/>
      <c r="Q425" s="145"/>
      <c r="W425" s="1"/>
    </row>
    <row r="426" spans="1:23" s="68" customFormat="1">
      <c r="A426" s="348">
        <f t="shared" si="7"/>
        <v>402</v>
      </c>
      <c r="B426" s="378" t="s">
        <v>149</v>
      </c>
      <c r="C426" s="561" t="s">
        <v>1037</v>
      </c>
      <c r="D426" s="434"/>
      <c r="E426" s="434" t="s">
        <v>100</v>
      </c>
      <c r="F426" s="379">
        <v>1</v>
      </c>
      <c r="G426" s="557"/>
      <c r="H426" s="145"/>
      <c r="I426" s="148"/>
      <c r="J426" s="148"/>
      <c r="K426" s="148"/>
      <c r="L426" s="145"/>
      <c r="M426" s="145"/>
      <c r="N426" s="145"/>
      <c r="O426" s="145"/>
      <c r="P426" s="145"/>
      <c r="Q426" s="145"/>
      <c r="W426" s="1"/>
    </row>
    <row r="427" spans="1:23" s="68" customFormat="1">
      <c r="A427" s="348">
        <f t="shared" si="7"/>
        <v>403</v>
      </c>
      <c r="B427" s="378" t="s">
        <v>149</v>
      </c>
      <c r="C427" s="575" t="s">
        <v>982</v>
      </c>
      <c r="D427" s="378"/>
      <c r="E427" s="573" t="s">
        <v>100</v>
      </c>
      <c r="F427" s="354">
        <v>1</v>
      </c>
      <c r="G427" s="435"/>
      <c r="H427" s="145"/>
      <c r="I427" s="148"/>
      <c r="J427" s="148"/>
      <c r="K427" s="148"/>
      <c r="L427" s="145"/>
      <c r="M427" s="145"/>
      <c r="N427" s="145"/>
      <c r="O427" s="145"/>
      <c r="P427" s="145"/>
      <c r="Q427" s="145"/>
      <c r="W427" s="1"/>
    </row>
    <row r="428" spans="1:23" s="68" customFormat="1">
      <c r="A428" s="380">
        <f t="shared" si="7"/>
        <v>404</v>
      </c>
      <c r="B428" s="382" t="s">
        <v>149</v>
      </c>
      <c r="C428" s="381" t="s">
        <v>981</v>
      </c>
      <c r="D428" s="492"/>
      <c r="E428" s="492" t="s">
        <v>100</v>
      </c>
      <c r="F428" s="383">
        <v>1</v>
      </c>
      <c r="G428" s="564"/>
      <c r="H428" s="150"/>
      <c r="I428" s="151"/>
      <c r="J428" s="151"/>
      <c r="K428" s="151"/>
      <c r="L428" s="150"/>
      <c r="M428" s="150"/>
      <c r="N428" s="150"/>
      <c r="O428" s="150"/>
      <c r="P428" s="150"/>
      <c r="Q428" s="150"/>
      <c r="W428" s="1"/>
    </row>
    <row r="429" spans="1:23" s="68" customFormat="1">
      <c r="A429" s="370"/>
      <c r="B429" s="500"/>
      <c r="C429" s="371" t="s">
        <v>1126</v>
      </c>
      <c r="D429" s="547"/>
      <c r="E429" s="547"/>
      <c r="F429" s="580"/>
      <c r="G429" s="547"/>
      <c r="H429" s="135"/>
      <c r="I429" s="152"/>
      <c r="J429" s="152"/>
      <c r="K429" s="152"/>
      <c r="L429" s="135"/>
      <c r="M429" s="135"/>
      <c r="N429" s="135"/>
      <c r="O429" s="135"/>
      <c r="P429" s="135"/>
      <c r="Q429" s="135"/>
      <c r="W429" s="1"/>
    </row>
    <row r="430" spans="1:23" s="68" customFormat="1" ht="48">
      <c r="A430" s="385">
        <f>A428+1</f>
        <v>405</v>
      </c>
      <c r="B430" s="387" t="s">
        <v>149</v>
      </c>
      <c r="C430" s="551" t="s">
        <v>1127</v>
      </c>
      <c r="D430" s="387" t="s">
        <v>1128</v>
      </c>
      <c r="E430" s="571" t="s">
        <v>90</v>
      </c>
      <c r="F430" s="433">
        <v>1</v>
      </c>
      <c r="G430" s="572"/>
      <c r="H430" s="146"/>
      <c r="I430" s="149"/>
      <c r="J430" s="149"/>
      <c r="K430" s="149"/>
      <c r="L430" s="146"/>
      <c r="M430" s="146"/>
      <c r="N430" s="146"/>
      <c r="O430" s="146"/>
      <c r="P430" s="146"/>
      <c r="Q430" s="146"/>
      <c r="W430" s="1"/>
    </row>
    <row r="431" spans="1:23" s="68" customFormat="1" ht="24">
      <c r="A431" s="348">
        <f>A430+1</f>
        <v>406</v>
      </c>
      <c r="B431" s="378" t="s">
        <v>149</v>
      </c>
      <c r="C431" s="377" t="s">
        <v>1129</v>
      </c>
      <c r="D431" s="378" t="s">
        <v>1130</v>
      </c>
      <c r="E431" s="573" t="s">
        <v>93</v>
      </c>
      <c r="F431" s="354">
        <v>1</v>
      </c>
      <c r="G431" s="378"/>
      <c r="H431" s="145"/>
      <c r="I431" s="148"/>
      <c r="J431" s="148"/>
      <c r="K431" s="148"/>
      <c r="L431" s="145"/>
      <c r="M431" s="145"/>
      <c r="N431" s="145"/>
      <c r="O431" s="145"/>
      <c r="P431" s="145"/>
      <c r="Q431" s="145"/>
      <c r="W431" s="1"/>
    </row>
    <row r="432" spans="1:23" s="68" customFormat="1">
      <c r="A432" s="348">
        <f t="shared" si="7"/>
        <v>407</v>
      </c>
      <c r="B432" s="378" t="s">
        <v>149</v>
      </c>
      <c r="C432" s="377" t="s">
        <v>953</v>
      </c>
      <c r="D432" s="378" t="s">
        <v>1131</v>
      </c>
      <c r="E432" s="573" t="s">
        <v>93</v>
      </c>
      <c r="F432" s="354">
        <v>1</v>
      </c>
      <c r="G432" s="378"/>
      <c r="H432" s="145"/>
      <c r="I432" s="148"/>
      <c r="J432" s="148"/>
      <c r="K432" s="148"/>
      <c r="L432" s="145"/>
      <c r="M432" s="145"/>
      <c r="N432" s="145"/>
      <c r="O432" s="145"/>
      <c r="P432" s="145"/>
      <c r="Q432" s="145"/>
      <c r="W432" s="1"/>
    </row>
    <row r="433" spans="1:23" s="68" customFormat="1">
      <c r="A433" s="348">
        <f t="shared" si="7"/>
        <v>408</v>
      </c>
      <c r="B433" s="378" t="s">
        <v>149</v>
      </c>
      <c r="C433" s="561" t="s">
        <v>1008</v>
      </c>
      <c r="D433" s="378" t="s">
        <v>1011</v>
      </c>
      <c r="E433" s="573" t="s">
        <v>93</v>
      </c>
      <c r="F433" s="354">
        <v>6</v>
      </c>
      <c r="G433" s="378"/>
      <c r="H433" s="145"/>
      <c r="I433" s="148"/>
      <c r="J433" s="148"/>
      <c r="K433" s="148"/>
      <c r="L433" s="145"/>
      <c r="M433" s="145"/>
      <c r="N433" s="145"/>
      <c r="O433" s="145"/>
      <c r="P433" s="145"/>
      <c r="Q433" s="145"/>
      <c r="W433" s="1"/>
    </row>
    <row r="434" spans="1:23" s="68" customFormat="1">
      <c r="A434" s="348">
        <f t="shared" si="7"/>
        <v>409</v>
      </c>
      <c r="B434" s="378" t="s">
        <v>149</v>
      </c>
      <c r="C434" s="377" t="s">
        <v>992</v>
      </c>
      <c r="D434" s="378" t="s">
        <v>993</v>
      </c>
      <c r="E434" s="573" t="s">
        <v>93</v>
      </c>
      <c r="F434" s="379">
        <v>4</v>
      </c>
      <c r="G434" s="464"/>
      <c r="H434" s="145"/>
      <c r="I434" s="148"/>
      <c r="J434" s="148"/>
      <c r="K434" s="148"/>
      <c r="L434" s="145"/>
      <c r="M434" s="145"/>
      <c r="N434" s="145"/>
      <c r="O434" s="145"/>
      <c r="P434" s="145"/>
      <c r="Q434" s="145"/>
      <c r="W434" s="1"/>
    </row>
    <row r="435" spans="1:23" s="68" customFormat="1">
      <c r="A435" s="348">
        <f t="shared" si="7"/>
        <v>410</v>
      </c>
      <c r="B435" s="378" t="s">
        <v>149</v>
      </c>
      <c r="C435" s="561" t="s">
        <v>999</v>
      </c>
      <c r="D435" s="378" t="s">
        <v>1132</v>
      </c>
      <c r="E435" s="573" t="s">
        <v>93</v>
      </c>
      <c r="F435" s="379">
        <v>1</v>
      </c>
      <c r="G435" s="464"/>
      <c r="H435" s="145"/>
      <c r="I435" s="148"/>
      <c r="J435" s="148"/>
      <c r="K435" s="148"/>
      <c r="L435" s="145"/>
      <c r="M435" s="145"/>
      <c r="N435" s="145"/>
      <c r="O435" s="145"/>
      <c r="P435" s="145"/>
      <c r="Q435" s="145"/>
      <c r="W435" s="1"/>
    </row>
    <row r="436" spans="1:23" s="68" customFormat="1">
      <c r="A436" s="348">
        <f t="shared" si="7"/>
        <v>411</v>
      </c>
      <c r="B436" s="378" t="s">
        <v>149</v>
      </c>
      <c r="C436" s="561" t="s">
        <v>999</v>
      </c>
      <c r="D436" s="378" t="s">
        <v>1114</v>
      </c>
      <c r="E436" s="573" t="s">
        <v>93</v>
      </c>
      <c r="F436" s="379">
        <v>1</v>
      </c>
      <c r="G436" s="464"/>
      <c r="H436" s="145"/>
      <c r="I436" s="148"/>
      <c r="J436" s="148"/>
      <c r="K436" s="148"/>
      <c r="L436" s="145"/>
      <c r="M436" s="145"/>
      <c r="N436" s="145"/>
      <c r="O436" s="145"/>
      <c r="P436" s="145"/>
      <c r="Q436" s="145"/>
      <c r="W436" s="1"/>
    </row>
    <row r="437" spans="1:23" s="68" customFormat="1">
      <c r="A437" s="348">
        <f t="shared" si="7"/>
        <v>412</v>
      </c>
      <c r="B437" s="378" t="s">
        <v>149</v>
      </c>
      <c r="C437" s="377" t="s">
        <v>1013</v>
      </c>
      <c r="D437" s="573" t="s">
        <v>1014</v>
      </c>
      <c r="E437" s="573" t="s">
        <v>77</v>
      </c>
      <c r="F437" s="583">
        <v>14</v>
      </c>
      <c r="G437" s="574"/>
      <c r="H437" s="145"/>
      <c r="I437" s="148"/>
      <c r="J437" s="148"/>
      <c r="K437" s="148"/>
      <c r="L437" s="145"/>
      <c r="M437" s="145"/>
      <c r="N437" s="145"/>
      <c r="O437" s="145"/>
      <c r="P437" s="145"/>
      <c r="Q437" s="145"/>
      <c r="W437" s="1"/>
    </row>
    <row r="438" spans="1:23" s="68" customFormat="1">
      <c r="A438" s="348">
        <f t="shared" si="7"/>
        <v>413</v>
      </c>
      <c r="B438" s="378" t="s">
        <v>149</v>
      </c>
      <c r="C438" s="377" t="s">
        <v>1013</v>
      </c>
      <c r="D438" s="573" t="s">
        <v>1016</v>
      </c>
      <c r="E438" s="573" t="s">
        <v>77</v>
      </c>
      <c r="F438" s="583">
        <v>6</v>
      </c>
      <c r="G438" s="574"/>
      <c r="H438" s="145"/>
      <c r="I438" s="148"/>
      <c r="J438" s="148"/>
      <c r="K438" s="148"/>
      <c r="L438" s="145"/>
      <c r="M438" s="145"/>
      <c r="N438" s="145"/>
      <c r="O438" s="145"/>
      <c r="P438" s="145"/>
      <c r="Q438" s="145"/>
      <c r="W438" s="1"/>
    </row>
    <row r="439" spans="1:23" s="68" customFormat="1">
      <c r="A439" s="348">
        <f t="shared" si="7"/>
        <v>414</v>
      </c>
      <c r="B439" s="378" t="s">
        <v>149</v>
      </c>
      <c r="C439" s="377" t="s">
        <v>1013</v>
      </c>
      <c r="D439" s="573" t="s">
        <v>1133</v>
      </c>
      <c r="E439" s="573" t="s">
        <v>77</v>
      </c>
      <c r="F439" s="583">
        <v>2</v>
      </c>
      <c r="G439" s="574"/>
      <c r="H439" s="145"/>
      <c r="I439" s="148"/>
      <c r="J439" s="148"/>
      <c r="K439" s="148"/>
      <c r="L439" s="145"/>
      <c r="M439" s="145"/>
      <c r="N439" s="145"/>
      <c r="O439" s="145"/>
      <c r="P439" s="145"/>
      <c r="Q439" s="145"/>
      <c r="W439" s="1"/>
    </row>
    <row r="440" spans="1:23" s="68" customFormat="1" ht="24">
      <c r="A440" s="348">
        <f t="shared" si="7"/>
        <v>415</v>
      </c>
      <c r="B440" s="378" t="s">
        <v>149</v>
      </c>
      <c r="C440" s="377" t="s">
        <v>1031</v>
      </c>
      <c r="D440" s="378" t="s">
        <v>1032</v>
      </c>
      <c r="E440" s="378" t="s">
        <v>1781</v>
      </c>
      <c r="F440" s="354">
        <v>3</v>
      </c>
      <c r="G440" s="378"/>
      <c r="H440" s="145"/>
      <c r="I440" s="148"/>
      <c r="J440" s="148"/>
      <c r="K440" s="148"/>
      <c r="L440" s="145"/>
      <c r="M440" s="145"/>
      <c r="N440" s="145"/>
      <c r="O440" s="145"/>
      <c r="P440" s="145"/>
      <c r="Q440" s="145"/>
      <c r="W440" s="1"/>
    </row>
    <row r="441" spans="1:23" s="68" customFormat="1">
      <c r="A441" s="348">
        <f t="shared" si="7"/>
        <v>416</v>
      </c>
      <c r="B441" s="378" t="s">
        <v>149</v>
      </c>
      <c r="C441" s="377" t="s">
        <v>1034</v>
      </c>
      <c r="D441" s="378"/>
      <c r="E441" s="434" t="s">
        <v>100</v>
      </c>
      <c r="F441" s="379">
        <v>1</v>
      </c>
      <c r="G441" s="557"/>
      <c r="H441" s="145"/>
      <c r="I441" s="148"/>
      <c r="J441" s="148"/>
      <c r="K441" s="148"/>
      <c r="L441" s="145"/>
      <c r="M441" s="145"/>
      <c r="N441" s="145"/>
      <c r="O441" s="145"/>
      <c r="P441" s="145"/>
      <c r="Q441" s="145"/>
      <c r="W441" s="1"/>
    </row>
    <row r="442" spans="1:23" s="68" customFormat="1">
      <c r="A442" s="348">
        <f t="shared" si="7"/>
        <v>417</v>
      </c>
      <c r="B442" s="378" t="s">
        <v>149</v>
      </c>
      <c r="C442" s="561" t="s">
        <v>1035</v>
      </c>
      <c r="D442" s="434"/>
      <c r="E442" s="434" t="s">
        <v>100</v>
      </c>
      <c r="F442" s="379">
        <v>1</v>
      </c>
      <c r="G442" s="557"/>
      <c r="H442" s="145"/>
      <c r="I442" s="148"/>
      <c r="J442" s="148"/>
      <c r="K442" s="148"/>
      <c r="L442" s="145"/>
      <c r="M442" s="145"/>
      <c r="N442" s="145"/>
      <c r="O442" s="145"/>
      <c r="P442" s="145"/>
      <c r="Q442" s="145"/>
      <c r="W442" s="1"/>
    </row>
    <row r="443" spans="1:23" s="68" customFormat="1">
      <c r="A443" s="348">
        <f t="shared" si="7"/>
        <v>418</v>
      </c>
      <c r="B443" s="378" t="s">
        <v>149</v>
      </c>
      <c r="C443" s="561" t="s">
        <v>1036</v>
      </c>
      <c r="D443" s="434"/>
      <c r="E443" s="434" t="s">
        <v>100</v>
      </c>
      <c r="F443" s="379">
        <v>1</v>
      </c>
      <c r="G443" s="557"/>
      <c r="H443" s="145"/>
      <c r="I443" s="148"/>
      <c r="J443" s="148"/>
      <c r="K443" s="148"/>
      <c r="L443" s="145"/>
      <c r="M443" s="145"/>
      <c r="N443" s="145"/>
      <c r="O443" s="145"/>
      <c r="P443" s="145"/>
      <c r="Q443" s="145"/>
      <c r="W443" s="1"/>
    </row>
    <row r="444" spans="1:23" s="68" customFormat="1">
      <c r="A444" s="348">
        <f t="shared" si="7"/>
        <v>419</v>
      </c>
      <c r="B444" s="378" t="s">
        <v>149</v>
      </c>
      <c r="C444" s="561" t="s">
        <v>935</v>
      </c>
      <c r="D444" s="434"/>
      <c r="E444" s="434" t="s">
        <v>100</v>
      </c>
      <c r="F444" s="379">
        <v>1</v>
      </c>
      <c r="G444" s="557"/>
      <c r="H444" s="145"/>
      <c r="I444" s="148"/>
      <c r="J444" s="148"/>
      <c r="K444" s="148"/>
      <c r="L444" s="145"/>
      <c r="M444" s="145"/>
      <c r="N444" s="145"/>
      <c r="O444" s="145"/>
      <c r="P444" s="145"/>
      <c r="Q444" s="145"/>
      <c r="W444" s="1"/>
    </row>
    <row r="445" spans="1:23" s="68" customFormat="1">
      <c r="A445" s="348">
        <f t="shared" ref="A445:A471" si="8">A444+1</f>
        <v>420</v>
      </c>
      <c r="B445" s="378" t="s">
        <v>149</v>
      </c>
      <c r="C445" s="561" t="s">
        <v>936</v>
      </c>
      <c r="D445" s="434"/>
      <c r="E445" s="434" t="s">
        <v>100</v>
      </c>
      <c r="F445" s="379">
        <v>1</v>
      </c>
      <c r="G445" s="557"/>
      <c r="H445" s="145"/>
      <c r="I445" s="148"/>
      <c r="J445" s="148"/>
      <c r="K445" s="148"/>
      <c r="L445" s="145"/>
      <c r="M445" s="145"/>
      <c r="N445" s="145"/>
      <c r="O445" s="145"/>
      <c r="P445" s="145"/>
      <c r="Q445" s="145"/>
      <c r="W445" s="1"/>
    </row>
    <row r="446" spans="1:23" s="68" customFormat="1">
      <c r="A446" s="348">
        <f t="shared" si="8"/>
        <v>421</v>
      </c>
      <c r="B446" s="378" t="s">
        <v>149</v>
      </c>
      <c r="C446" s="561" t="s">
        <v>1037</v>
      </c>
      <c r="D446" s="434"/>
      <c r="E446" s="434" t="s">
        <v>100</v>
      </c>
      <c r="F446" s="379">
        <v>1</v>
      </c>
      <c r="G446" s="557"/>
      <c r="H446" s="145"/>
      <c r="I446" s="148"/>
      <c r="J446" s="148"/>
      <c r="K446" s="148"/>
      <c r="L446" s="145"/>
      <c r="M446" s="145"/>
      <c r="N446" s="145"/>
      <c r="O446" s="145"/>
      <c r="P446" s="145"/>
      <c r="Q446" s="145"/>
      <c r="W446" s="1"/>
    </row>
    <row r="447" spans="1:23" s="68" customFormat="1">
      <c r="A447" s="348">
        <f t="shared" si="8"/>
        <v>422</v>
      </c>
      <c r="B447" s="378" t="s">
        <v>149</v>
      </c>
      <c r="C447" s="575" t="s">
        <v>982</v>
      </c>
      <c r="D447" s="378"/>
      <c r="E447" s="573" t="s">
        <v>100</v>
      </c>
      <c r="F447" s="354">
        <v>1</v>
      </c>
      <c r="G447" s="435"/>
      <c r="H447" s="145"/>
      <c r="I447" s="148"/>
      <c r="J447" s="148"/>
      <c r="K447" s="148"/>
      <c r="L447" s="145"/>
      <c r="M447" s="145"/>
      <c r="N447" s="145"/>
      <c r="O447" s="145"/>
      <c r="P447" s="145"/>
      <c r="Q447" s="145"/>
      <c r="W447" s="1"/>
    </row>
    <row r="448" spans="1:23" s="68" customFormat="1">
      <c r="A448" s="380">
        <f t="shared" si="8"/>
        <v>423</v>
      </c>
      <c r="B448" s="382" t="s">
        <v>149</v>
      </c>
      <c r="C448" s="381" t="s">
        <v>981</v>
      </c>
      <c r="D448" s="492"/>
      <c r="E448" s="492" t="s">
        <v>100</v>
      </c>
      <c r="F448" s="383">
        <v>1</v>
      </c>
      <c r="G448" s="564"/>
      <c r="H448" s="150"/>
      <c r="I448" s="151"/>
      <c r="J448" s="151"/>
      <c r="K448" s="151"/>
      <c r="L448" s="150"/>
      <c r="M448" s="150"/>
      <c r="N448" s="150"/>
      <c r="O448" s="150"/>
      <c r="P448" s="150"/>
      <c r="Q448" s="150"/>
      <c r="W448" s="1"/>
    </row>
    <row r="449" spans="1:23" s="68" customFormat="1">
      <c r="A449" s="370"/>
      <c r="B449" s="500"/>
      <c r="C449" s="371" t="s">
        <v>1134</v>
      </c>
      <c r="D449" s="547"/>
      <c r="E449" s="547"/>
      <c r="F449" s="580"/>
      <c r="G449" s="547"/>
      <c r="H449" s="135"/>
      <c r="I449" s="152"/>
      <c r="J449" s="152"/>
      <c r="K449" s="152"/>
      <c r="L449" s="135"/>
      <c r="M449" s="135"/>
      <c r="N449" s="135"/>
      <c r="O449" s="135"/>
      <c r="P449" s="135"/>
      <c r="Q449" s="135"/>
      <c r="W449" s="1"/>
    </row>
    <row r="450" spans="1:23" s="68" customFormat="1" ht="48">
      <c r="A450" s="385">
        <f>A448+1</f>
        <v>424</v>
      </c>
      <c r="B450" s="387" t="s">
        <v>149</v>
      </c>
      <c r="C450" s="551" t="s">
        <v>1135</v>
      </c>
      <c r="D450" s="387" t="s">
        <v>1136</v>
      </c>
      <c r="E450" s="571" t="s">
        <v>90</v>
      </c>
      <c r="F450" s="433">
        <v>1</v>
      </c>
      <c r="G450" s="572"/>
      <c r="H450" s="146"/>
      <c r="I450" s="149"/>
      <c r="J450" s="149"/>
      <c r="K450" s="149"/>
      <c r="L450" s="146"/>
      <c r="M450" s="146"/>
      <c r="N450" s="146"/>
      <c r="O450" s="146"/>
      <c r="P450" s="146"/>
      <c r="Q450" s="146"/>
      <c r="W450" s="1"/>
    </row>
    <row r="451" spans="1:23" s="68" customFormat="1" ht="24">
      <c r="A451" s="348">
        <f>A450+1</f>
        <v>425</v>
      </c>
      <c r="B451" s="378" t="s">
        <v>149</v>
      </c>
      <c r="C451" s="377" t="s">
        <v>1129</v>
      </c>
      <c r="D451" s="378" t="s">
        <v>1137</v>
      </c>
      <c r="E451" s="573" t="s">
        <v>93</v>
      </c>
      <c r="F451" s="354">
        <v>1</v>
      </c>
      <c r="G451" s="378"/>
      <c r="H451" s="145"/>
      <c r="I451" s="148"/>
      <c r="J451" s="148"/>
      <c r="K451" s="148"/>
      <c r="L451" s="145"/>
      <c r="M451" s="145"/>
      <c r="N451" s="145"/>
      <c r="O451" s="145"/>
      <c r="P451" s="145"/>
      <c r="Q451" s="145"/>
      <c r="W451" s="1"/>
    </row>
    <row r="452" spans="1:23" s="68" customFormat="1">
      <c r="A452" s="348">
        <f t="shared" si="8"/>
        <v>426</v>
      </c>
      <c r="B452" s="378" t="s">
        <v>149</v>
      </c>
      <c r="C452" s="377" t="s">
        <v>953</v>
      </c>
      <c r="D452" s="378" t="s">
        <v>1138</v>
      </c>
      <c r="E452" s="573" t="s">
        <v>93</v>
      </c>
      <c r="F452" s="354">
        <v>1</v>
      </c>
      <c r="G452" s="378"/>
      <c r="H452" s="145"/>
      <c r="I452" s="148"/>
      <c r="J452" s="148"/>
      <c r="K452" s="148"/>
      <c r="L452" s="145"/>
      <c r="M452" s="145"/>
      <c r="N452" s="145"/>
      <c r="O452" s="145"/>
      <c r="P452" s="145"/>
      <c r="Q452" s="145"/>
      <c r="W452" s="1"/>
    </row>
    <row r="453" spans="1:23" s="68" customFormat="1" ht="24">
      <c r="A453" s="348">
        <f t="shared" si="8"/>
        <v>427</v>
      </c>
      <c r="B453" s="378" t="s">
        <v>149</v>
      </c>
      <c r="C453" s="561" t="s">
        <v>1008</v>
      </c>
      <c r="D453" s="378" t="s">
        <v>1139</v>
      </c>
      <c r="E453" s="573" t="s">
        <v>93</v>
      </c>
      <c r="F453" s="354">
        <v>1</v>
      </c>
      <c r="G453" s="378"/>
      <c r="H453" s="145"/>
      <c r="I453" s="148"/>
      <c r="J453" s="148"/>
      <c r="K453" s="148"/>
      <c r="L453" s="145"/>
      <c r="M453" s="145"/>
      <c r="N453" s="145"/>
      <c r="O453" s="145"/>
      <c r="P453" s="145"/>
      <c r="Q453" s="145"/>
      <c r="W453" s="1"/>
    </row>
    <row r="454" spans="1:23" s="68" customFormat="1">
      <c r="A454" s="348">
        <f t="shared" si="8"/>
        <v>428</v>
      </c>
      <c r="B454" s="378" t="s">
        <v>149</v>
      </c>
      <c r="C454" s="561" t="s">
        <v>1008</v>
      </c>
      <c r="D454" s="378" t="s">
        <v>1011</v>
      </c>
      <c r="E454" s="573" t="s">
        <v>93</v>
      </c>
      <c r="F454" s="354">
        <v>11</v>
      </c>
      <c r="G454" s="378"/>
      <c r="H454" s="145"/>
      <c r="I454" s="148"/>
      <c r="J454" s="148"/>
      <c r="K454" s="148"/>
      <c r="L454" s="145"/>
      <c r="M454" s="145"/>
      <c r="N454" s="145"/>
      <c r="O454" s="145"/>
      <c r="P454" s="145"/>
      <c r="Q454" s="145"/>
      <c r="W454" s="1"/>
    </row>
    <row r="455" spans="1:23" s="68" customFormat="1">
      <c r="A455" s="348">
        <f t="shared" si="8"/>
        <v>429</v>
      </c>
      <c r="B455" s="378" t="s">
        <v>149</v>
      </c>
      <c r="C455" s="377" t="s">
        <v>992</v>
      </c>
      <c r="D455" s="378" t="s">
        <v>993</v>
      </c>
      <c r="E455" s="573" t="s">
        <v>93</v>
      </c>
      <c r="F455" s="379">
        <v>11</v>
      </c>
      <c r="G455" s="464"/>
      <c r="H455" s="145"/>
      <c r="I455" s="148"/>
      <c r="J455" s="148"/>
      <c r="K455" s="148"/>
      <c r="L455" s="145"/>
      <c r="M455" s="145"/>
      <c r="N455" s="145"/>
      <c r="O455" s="145"/>
      <c r="P455" s="145"/>
      <c r="Q455" s="145"/>
      <c r="W455" s="1"/>
    </row>
    <row r="456" spans="1:23" s="68" customFormat="1">
      <c r="A456" s="348">
        <f t="shared" si="8"/>
        <v>430</v>
      </c>
      <c r="B456" s="378" t="s">
        <v>149</v>
      </c>
      <c r="C456" s="561" t="s">
        <v>999</v>
      </c>
      <c r="D456" s="378" t="s">
        <v>1132</v>
      </c>
      <c r="E456" s="573" t="s">
        <v>93</v>
      </c>
      <c r="F456" s="379">
        <v>2</v>
      </c>
      <c r="G456" s="464"/>
      <c r="H456" s="145"/>
      <c r="I456" s="148"/>
      <c r="J456" s="148"/>
      <c r="K456" s="148"/>
      <c r="L456" s="145"/>
      <c r="M456" s="145"/>
      <c r="N456" s="145"/>
      <c r="O456" s="145"/>
      <c r="P456" s="145"/>
      <c r="Q456" s="145"/>
      <c r="W456" s="1"/>
    </row>
    <row r="457" spans="1:23" s="68" customFormat="1" ht="24">
      <c r="A457" s="348">
        <f t="shared" si="8"/>
        <v>431</v>
      </c>
      <c r="B457" s="378" t="s">
        <v>149</v>
      </c>
      <c r="C457" s="561" t="s">
        <v>999</v>
      </c>
      <c r="D457" s="378" t="s">
        <v>1140</v>
      </c>
      <c r="E457" s="573" t="s">
        <v>93</v>
      </c>
      <c r="F457" s="379">
        <v>3</v>
      </c>
      <c r="G457" s="464"/>
      <c r="H457" s="145"/>
      <c r="I457" s="148"/>
      <c r="J457" s="148"/>
      <c r="K457" s="148"/>
      <c r="L457" s="145"/>
      <c r="M457" s="145"/>
      <c r="N457" s="145"/>
      <c r="O457" s="145"/>
      <c r="P457" s="145"/>
      <c r="Q457" s="145"/>
      <c r="W457" s="1"/>
    </row>
    <row r="458" spans="1:23" s="68" customFormat="1">
      <c r="A458" s="348">
        <f t="shared" si="8"/>
        <v>432</v>
      </c>
      <c r="B458" s="378" t="s">
        <v>149</v>
      </c>
      <c r="C458" s="377" t="s">
        <v>1013</v>
      </c>
      <c r="D458" s="573" t="s">
        <v>1014</v>
      </c>
      <c r="E458" s="573" t="s">
        <v>77</v>
      </c>
      <c r="F458" s="583">
        <v>39</v>
      </c>
      <c r="G458" s="574"/>
      <c r="H458" s="145"/>
      <c r="I458" s="148"/>
      <c r="J458" s="148"/>
      <c r="K458" s="148"/>
      <c r="L458" s="145"/>
      <c r="M458" s="145"/>
      <c r="N458" s="145"/>
      <c r="O458" s="145"/>
      <c r="P458" s="145"/>
      <c r="Q458" s="145"/>
      <c r="W458" s="1"/>
    </row>
    <row r="459" spans="1:23" s="68" customFormat="1">
      <c r="A459" s="348">
        <f t="shared" si="8"/>
        <v>433</v>
      </c>
      <c r="B459" s="378" t="s">
        <v>149</v>
      </c>
      <c r="C459" s="377" t="s">
        <v>1013</v>
      </c>
      <c r="D459" s="573" t="s">
        <v>1017</v>
      </c>
      <c r="E459" s="573" t="s">
        <v>77</v>
      </c>
      <c r="F459" s="583">
        <v>5</v>
      </c>
      <c r="G459" s="574"/>
      <c r="H459" s="145"/>
      <c r="I459" s="148"/>
      <c r="J459" s="148"/>
      <c r="K459" s="148"/>
      <c r="L459" s="145"/>
      <c r="M459" s="145"/>
      <c r="N459" s="145"/>
      <c r="O459" s="145"/>
      <c r="P459" s="145"/>
      <c r="Q459" s="145"/>
      <c r="W459" s="1"/>
    </row>
    <row r="460" spans="1:23" s="68" customFormat="1">
      <c r="A460" s="348">
        <f t="shared" si="8"/>
        <v>434</v>
      </c>
      <c r="B460" s="378" t="s">
        <v>149</v>
      </c>
      <c r="C460" s="377" t="s">
        <v>1013</v>
      </c>
      <c r="D460" s="573" t="s">
        <v>1071</v>
      </c>
      <c r="E460" s="573" t="s">
        <v>77</v>
      </c>
      <c r="F460" s="583">
        <v>12</v>
      </c>
      <c r="G460" s="574"/>
      <c r="H460" s="145"/>
      <c r="I460" s="148"/>
      <c r="J460" s="148"/>
      <c r="K460" s="148"/>
      <c r="L460" s="145"/>
      <c r="M460" s="145"/>
      <c r="N460" s="145"/>
      <c r="O460" s="145"/>
      <c r="P460" s="145"/>
      <c r="Q460" s="145"/>
      <c r="W460" s="1"/>
    </row>
    <row r="461" spans="1:23" s="68" customFormat="1">
      <c r="A461" s="348">
        <f t="shared" si="8"/>
        <v>435</v>
      </c>
      <c r="B461" s="378" t="s">
        <v>149</v>
      </c>
      <c r="C461" s="377" t="s">
        <v>1013</v>
      </c>
      <c r="D461" s="573" t="s">
        <v>1141</v>
      </c>
      <c r="E461" s="573" t="s">
        <v>77</v>
      </c>
      <c r="F461" s="583">
        <v>2</v>
      </c>
      <c r="G461" s="574"/>
      <c r="H461" s="145"/>
      <c r="I461" s="148"/>
      <c r="J461" s="148"/>
      <c r="K461" s="148"/>
      <c r="L461" s="145"/>
      <c r="M461" s="145"/>
      <c r="N461" s="145"/>
      <c r="O461" s="145"/>
      <c r="P461" s="145"/>
      <c r="Q461" s="145"/>
      <c r="W461" s="1"/>
    </row>
    <row r="462" spans="1:23" s="68" customFormat="1">
      <c r="A462" s="348">
        <f t="shared" si="8"/>
        <v>436</v>
      </c>
      <c r="B462" s="378" t="s">
        <v>149</v>
      </c>
      <c r="C462" s="377" t="s">
        <v>1013</v>
      </c>
      <c r="D462" s="573" t="s">
        <v>1142</v>
      </c>
      <c r="E462" s="573" t="s">
        <v>77</v>
      </c>
      <c r="F462" s="583">
        <v>2</v>
      </c>
      <c r="G462" s="574"/>
      <c r="H462" s="145"/>
      <c r="I462" s="148"/>
      <c r="J462" s="148"/>
      <c r="K462" s="148"/>
      <c r="L462" s="145"/>
      <c r="M462" s="145"/>
      <c r="N462" s="145"/>
      <c r="O462" s="145"/>
      <c r="P462" s="145"/>
      <c r="Q462" s="145"/>
      <c r="W462" s="1"/>
    </row>
    <row r="463" spans="1:23" s="68" customFormat="1" ht="24">
      <c r="A463" s="348">
        <f t="shared" si="8"/>
        <v>437</v>
      </c>
      <c r="B463" s="378" t="s">
        <v>149</v>
      </c>
      <c r="C463" s="377" t="s">
        <v>1031</v>
      </c>
      <c r="D463" s="378" t="s">
        <v>1032</v>
      </c>
      <c r="E463" s="378" t="s">
        <v>1781</v>
      </c>
      <c r="F463" s="354">
        <v>3</v>
      </c>
      <c r="G463" s="378"/>
      <c r="H463" s="145"/>
      <c r="I463" s="148"/>
      <c r="J463" s="148"/>
      <c r="K463" s="148"/>
      <c r="L463" s="145"/>
      <c r="M463" s="145"/>
      <c r="N463" s="145"/>
      <c r="O463" s="145"/>
      <c r="P463" s="145"/>
      <c r="Q463" s="145"/>
      <c r="W463" s="1"/>
    </row>
    <row r="464" spans="1:23" s="68" customFormat="1">
      <c r="A464" s="348">
        <f t="shared" si="8"/>
        <v>438</v>
      </c>
      <c r="B464" s="378" t="s">
        <v>149</v>
      </c>
      <c r="C464" s="377" t="s">
        <v>1034</v>
      </c>
      <c r="D464" s="378"/>
      <c r="E464" s="434" t="s">
        <v>100</v>
      </c>
      <c r="F464" s="379">
        <v>1</v>
      </c>
      <c r="G464" s="557"/>
      <c r="H464" s="145"/>
      <c r="I464" s="148"/>
      <c r="J464" s="148"/>
      <c r="K464" s="148"/>
      <c r="L464" s="145"/>
      <c r="M464" s="145"/>
      <c r="N464" s="145"/>
      <c r="O464" s="145"/>
      <c r="P464" s="145"/>
      <c r="Q464" s="145"/>
      <c r="W464" s="1"/>
    </row>
    <row r="465" spans="1:23" s="68" customFormat="1">
      <c r="A465" s="348">
        <f t="shared" si="8"/>
        <v>439</v>
      </c>
      <c r="B465" s="378" t="s">
        <v>149</v>
      </c>
      <c r="C465" s="561" t="s">
        <v>1035</v>
      </c>
      <c r="D465" s="434"/>
      <c r="E465" s="434" t="s">
        <v>100</v>
      </c>
      <c r="F465" s="379">
        <v>1</v>
      </c>
      <c r="G465" s="557"/>
      <c r="H465" s="145"/>
      <c r="I465" s="148"/>
      <c r="J465" s="148"/>
      <c r="K465" s="148"/>
      <c r="L465" s="145"/>
      <c r="M465" s="145"/>
      <c r="N465" s="145"/>
      <c r="O465" s="145"/>
      <c r="P465" s="145"/>
      <c r="Q465" s="145"/>
      <c r="W465" s="1"/>
    </row>
    <row r="466" spans="1:23" s="68" customFormat="1">
      <c r="A466" s="348">
        <f t="shared" si="8"/>
        <v>440</v>
      </c>
      <c r="B466" s="378" t="s">
        <v>149</v>
      </c>
      <c r="C466" s="561" t="s">
        <v>1036</v>
      </c>
      <c r="D466" s="434"/>
      <c r="E466" s="434" t="s">
        <v>100</v>
      </c>
      <c r="F466" s="379">
        <v>1</v>
      </c>
      <c r="G466" s="557"/>
      <c r="H466" s="145"/>
      <c r="I466" s="148"/>
      <c r="J466" s="148"/>
      <c r="K466" s="148"/>
      <c r="L466" s="145"/>
      <c r="M466" s="145"/>
      <c r="N466" s="145"/>
      <c r="O466" s="145"/>
      <c r="P466" s="145"/>
      <c r="Q466" s="145"/>
      <c r="W466" s="1"/>
    </row>
    <row r="467" spans="1:23" s="68" customFormat="1">
      <c r="A467" s="348">
        <f t="shared" si="8"/>
        <v>441</v>
      </c>
      <c r="B467" s="378" t="s">
        <v>149</v>
      </c>
      <c r="C467" s="561" t="s">
        <v>935</v>
      </c>
      <c r="D467" s="434"/>
      <c r="E467" s="434" t="s">
        <v>100</v>
      </c>
      <c r="F467" s="379">
        <v>1</v>
      </c>
      <c r="G467" s="557"/>
      <c r="H467" s="145"/>
      <c r="I467" s="148"/>
      <c r="J467" s="148"/>
      <c r="K467" s="148"/>
      <c r="L467" s="145"/>
      <c r="M467" s="145"/>
      <c r="N467" s="145"/>
      <c r="O467" s="145"/>
      <c r="P467" s="145"/>
      <c r="Q467" s="145"/>
      <c r="W467" s="1"/>
    </row>
    <row r="468" spans="1:23" s="68" customFormat="1">
      <c r="A468" s="348">
        <f t="shared" si="8"/>
        <v>442</v>
      </c>
      <c r="B468" s="378" t="s">
        <v>149</v>
      </c>
      <c r="C468" s="561" t="s">
        <v>936</v>
      </c>
      <c r="D468" s="434"/>
      <c r="E468" s="434" t="s">
        <v>100</v>
      </c>
      <c r="F468" s="379">
        <v>1</v>
      </c>
      <c r="G468" s="557"/>
      <c r="H468" s="145"/>
      <c r="I468" s="148"/>
      <c r="J468" s="148"/>
      <c r="K468" s="148"/>
      <c r="L468" s="145"/>
      <c r="M468" s="145"/>
      <c r="N468" s="145"/>
      <c r="O468" s="145"/>
      <c r="P468" s="145"/>
      <c r="Q468" s="145"/>
      <c r="W468" s="1"/>
    </row>
    <row r="469" spans="1:23" s="68" customFormat="1">
      <c r="A469" s="348">
        <f t="shared" si="8"/>
        <v>443</v>
      </c>
      <c r="B469" s="378" t="s">
        <v>149</v>
      </c>
      <c r="C469" s="561" t="s">
        <v>1037</v>
      </c>
      <c r="D469" s="434"/>
      <c r="E469" s="434" t="s">
        <v>100</v>
      </c>
      <c r="F469" s="379">
        <v>1</v>
      </c>
      <c r="G469" s="557"/>
      <c r="H469" s="145"/>
      <c r="I469" s="148"/>
      <c r="J469" s="148"/>
      <c r="K469" s="148"/>
      <c r="L469" s="145"/>
      <c r="M469" s="145"/>
      <c r="N469" s="145"/>
      <c r="O469" s="145"/>
      <c r="P469" s="145"/>
      <c r="Q469" s="145"/>
      <c r="W469" s="1"/>
    </row>
    <row r="470" spans="1:23" s="68" customFormat="1">
      <c r="A470" s="348">
        <f t="shared" si="8"/>
        <v>444</v>
      </c>
      <c r="B470" s="378" t="s">
        <v>149</v>
      </c>
      <c r="C470" s="575" t="s">
        <v>982</v>
      </c>
      <c r="D470" s="378"/>
      <c r="E470" s="573" t="s">
        <v>100</v>
      </c>
      <c r="F470" s="354">
        <v>1</v>
      </c>
      <c r="G470" s="435"/>
      <c r="H470" s="145"/>
      <c r="I470" s="148"/>
      <c r="J470" s="148"/>
      <c r="K470" s="148"/>
      <c r="L470" s="145"/>
      <c r="M470" s="145"/>
      <c r="N470" s="145"/>
      <c r="O470" s="145"/>
      <c r="P470" s="145"/>
      <c r="Q470" s="145"/>
      <c r="W470" s="1"/>
    </row>
    <row r="471" spans="1:23" s="68" customFormat="1">
      <c r="A471" s="380">
        <f t="shared" si="8"/>
        <v>445</v>
      </c>
      <c r="B471" s="382" t="s">
        <v>149</v>
      </c>
      <c r="C471" s="381" t="s">
        <v>981</v>
      </c>
      <c r="D471" s="492"/>
      <c r="E471" s="492" t="s">
        <v>100</v>
      </c>
      <c r="F471" s="383">
        <v>1</v>
      </c>
      <c r="G471" s="564"/>
      <c r="H471" s="150"/>
      <c r="I471" s="151"/>
      <c r="J471" s="151"/>
      <c r="K471" s="151"/>
      <c r="L471" s="150"/>
      <c r="M471" s="150"/>
      <c r="N471" s="150"/>
      <c r="O471" s="150"/>
      <c r="P471" s="150"/>
      <c r="Q471" s="150"/>
      <c r="W471" s="1"/>
    </row>
    <row r="472" spans="1:23" s="68" customFormat="1">
      <c r="A472" s="370"/>
      <c r="B472" s="500"/>
      <c r="C472" s="371" t="s">
        <v>1143</v>
      </c>
      <c r="D472" s="547"/>
      <c r="E472" s="547"/>
      <c r="F472" s="580"/>
      <c r="G472" s="547"/>
      <c r="H472" s="135"/>
      <c r="I472" s="152"/>
      <c r="J472" s="152"/>
      <c r="K472" s="152"/>
      <c r="L472" s="135"/>
      <c r="M472" s="135"/>
      <c r="N472" s="135"/>
      <c r="O472" s="135"/>
      <c r="P472" s="135"/>
      <c r="Q472" s="135"/>
      <c r="W472" s="1"/>
    </row>
    <row r="473" spans="1:23" s="68" customFormat="1" ht="36">
      <c r="A473" s="385">
        <f>A471+1</f>
        <v>446</v>
      </c>
      <c r="B473" s="387" t="s">
        <v>149</v>
      </c>
      <c r="C473" s="551" t="s">
        <v>1144</v>
      </c>
      <c r="D473" s="387" t="s">
        <v>1145</v>
      </c>
      <c r="E473" s="571" t="s">
        <v>90</v>
      </c>
      <c r="F473" s="433">
        <v>1</v>
      </c>
      <c r="G473" s="572"/>
      <c r="H473" s="146"/>
      <c r="I473" s="149"/>
      <c r="J473" s="149"/>
      <c r="K473" s="149"/>
      <c r="L473" s="146"/>
      <c r="M473" s="146"/>
      <c r="N473" s="146"/>
      <c r="O473" s="146"/>
      <c r="P473" s="146"/>
      <c r="Q473" s="146"/>
      <c r="W473" s="1"/>
    </row>
    <row r="474" spans="1:23" s="68" customFormat="1">
      <c r="A474" s="348">
        <f>A473+1</f>
        <v>447</v>
      </c>
      <c r="B474" s="378" t="s">
        <v>149</v>
      </c>
      <c r="C474" s="377" t="s">
        <v>1146</v>
      </c>
      <c r="D474" s="378" t="s">
        <v>1147</v>
      </c>
      <c r="E474" s="573" t="s">
        <v>93</v>
      </c>
      <c r="F474" s="354">
        <v>1</v>
      </c>
      <c r="G474" s="378"/>
      <c r="H474" s="145"/>
      <c r="I474" s="148"/>
      <c r="J474" s="148"/>
      <c r="K474" s="148"/>
      <c r="L474" s="145"/>
      <c r="M474" s="145"/>
      <c r="N474" s="145"/>
      <c r="O474" s="145"/>
      <c r="P474" s="145"/>
      <c r="Q474" s="145"/>
      <c r="W474" s="1"/>
    </row>
    <row r="475" spans="1:23" s="68" customFormat="1" ht="24">
      <c r="A475" s="348">
        <f t="shared" ref="A475:A533" si="9">A474+1</f>
        <v>448</v>
      </c>
      <c r="B475" s="378" t="s">
        <v>149</v>
      </c>
      <c r="C475" s="377" t="s">
        <v>989</v>
      </c>
      <c r="D475" s="378" t="s">
        <v>1148</v>
      </c>
      <c r="E475" s="573" t="s">
        <v>93</v>
      </c>
      <c r="F475" s="354">
        <v>1</v>
      </c>
      <c r="G475" s="378"/>
      <c r="H475" s="145"/>
      <c r="I475" s="148"/>
      <c r="J475" s="148"/>
      <c r="K475" s="148"/>
      <c r="L475" s="145"/>
      <c r="M475" s="145"/>
      <c r="N475" s="145"/>
      <c r="O475" s="145"/>
      <c r="P475" s="145"/>
      <c r="Q475" s="145"/>
      <c r="W475" s="1"/>
    </row>
    <row r="476" spans="1:23" s="68" customFormat="1">
      <c r="A476" s="348">
        <f t="shared" si="9"/>
        <v>449</v>
      </c>
      <c r="B476" s="378" t="s">
        <v>149</v>
      </c>
      <c r="C476" s="377" t="s">
        <v>992</v>
      </c>
      <c r="D476" s="378" t="s">
        <v>993</v>
      </c>
      <c r="E476" s="573" t="s">
        <v>93</v>
      </c>
      <c r="F476" s="379">
        <v>2</v>
      </c>
      <c r="G476" s="464"/>
      <c r="H476" s="145"/>
      <c r="I476" s="148"/>
      <c r="J476" s="148"/>
      <c r="K476" s="148"/>
      <c r="L476" s="145"/>
      <c r="M476" s="145"/>
      <c r="N476" s="145"/>
      <c r="O476" s="145"/>
      <c r="P476" s="145"/>
      <c r="Q476" s="145"/>
      <c r="W476" s="1"/>
    </row>
    <row r="477" spans="1:23" s="68" customFormat="1" ht="48">
      <c r="A477" s="348">
        <f t="shared" si="9"/>
        <v>450</v>
      </c>
      <c r="B477" s="378" t="s">
        <v>149</v>
      </c>
      <c r="C477" s="377" t="s">
        <v>1149</v>
      </c>
      <c r="D477" s="378" t="s">
        <v>1150</v>
      </c>
      <c r="E477" s="573" t="s">
        <v>93</v>
      </c>
      <c r="F477" s="354">
        <v>1</v>
      </c>
      <c r="G477" s="378"/>
      <c r="H477" s="145"/>
      <c r="I477" s="148"/>
      <c r="J477" s="148"/>
      <c r="K477" s="148"/>
      <c r="L477" s="145"/>
      <c r="M477" s="145"/>
      <c r="N477" s="145"/>
      <c r="O477" s="145"/>
      <c r="P477" s="145"/>
      <c r="Q477" s="145"/>
      <c r="W477" s="1"/>
    </row>
    <row r="478" spans="1:23" s="68" customFormat="1">
      <c r="A478" s="348">
        <f t="shared" si="9"/>
        <v>451</v>
      </c>
      <c r="B478" s="378" t="s">
        <v>149</v>
      </c>
      <c r="C478" s="561" t="s">
        <v>999</v>
      </c>
      <c r="D478" s="378" t="s">
        <v>1132</v>
      </c>
      <c r="E478" s="573" t="s">
        <v>93</v>
      </c>
      <c r="F478" s="354">
        <v>1</v>
      </c>
      <c r="G478" s="378"/>
      <c r="H478" s="145"/>
      <c r="I478" s="148"/>
      <c r="J478" s="148"/>
      <c r="K478" s="148"/>
      <c r="L478" s="145"/>
      <c r="M478" s="145"/>
      <c r="N478" s="145"/>
      <c r="O478" s="145"/>
      <c r="P478" s="145"/>
      <c r="Q478" s="145"/>
      <c r="W478" s="1"/>
    </row>
    <row r="479" spans="1:23" s="68" customFormat="1">
      <c r="A479" s="348">
        <f t="shared" si="9"/>
        <v>452</v>
      </c>
      <c r="B479" s="378" t="s">
        <v>149</v>
      </c>
      <c r="C479" s="561" t="s">
        <v>999</v>
      </c>
      <c r="D479" s="378" t="s">
        <v>1114</v>
      </c>
      <c r="E479" s="573" t="s">
        <v>93</v>
      </c>
      <c r="F479" s="354">
        <v>2</v>
      </c>
      <c r="G479" s="378"/>
      <c r="H479" s="145"/>
      <c r="I479" s="148"/>
      <c r="J479" s="148"/>
      <c r="K479" s="148"/>
      <c r="L479" s="145"/>
      <c r="M479" s="145"/>
      <c r="N479" s="145"/>
      <c r="O479" s="145"/>
      <c r="P479" s="145"/>
      <c r="Q479" s="145"/>
      <c r="W479" s="1"/>
    </row>
    <row r="480" spans="1:23" s="68" customFormat="1">
      <c r="A480" s="348">
        <f t="shared" si="9"/>
        <v>453</v>
      </c>
      <c r="B480" s="378" t="s">
        <v>149</v>
      </c>
      <c r="C480" s="561" t="s">
        <v>1008</v>
      </c>
      <c r="D480" s="378" t="s">
        <v>1011</v>
      </c>
      <c r="E480" s="573" t="s">
        <v>93</v>
      </c>
      <c r="F480" s="354">
        <v>4</v>
      </c>
      <c r="G480" s="378"/>
      <c r="H480" s="145"/>
      <c r="I480" s="148"/>
      <c r="J480" s="148"/>
      <c r="K480" s="148"/>
      <c r="L480" s="145"/>
      <c r="M480" s="145"/>
      <c r="N480" s="145"/>
      <c r="O480" s="145"/>
      <c r="P480" s="145"/>
      <c r="Q480" s="145"/>
      <c r="W480" s="1"/>
    </row>
    <row r="481" spans="1:23" s="68" customFormat="1">
      <c r="A481" s="348">
        <f t="shared" si="9"/>
        <v>454</v>
      </c>
      <c r="B481" s="378" t="s">
        <v>149</v>
      </c>
      <c r="C481" s="377" t="s">
        <v>1013</v>
      </c>
      <c r="D481" s="573" t="s">
        <v>1014</v>
      </c>
      <c r="E481" s="573" t="s">
        <v>77</v>
      </c>
      <c r="F481" s="583">
        <v>11</v>
      </c>
      <c r="G481" s="574"/>
      <c r="H481" s="145"/>
      <c r="I481" s="148"/>
      <c r="J481" s="148"/>
      <c r="K481" s="148"/>
      <c r="L481" s="145"/>
      <c r="M481" s="145"/>
      <c r="N481" s="145"/>
      <c r="O481" s="145"/>
      <c r="P481" s="145"/>
      <c r="Q481" s="145"/>
      <c r="W481" s="1"/>
    </row>
    <row r="482" spans="1:23" s="68" customFormat="1">
      <c r="A482" s="348">
        <f t="shared" si="9"/>
        <v>455</v>
      </c>
      <c r="B482" s="378" t="s">
        <v>149</v>
      </c>
      <c r="C482" s="377" t="s">
        <v>1013</v>
      </c>
      <c r="D482" s="573" t="s">
        <v>1016</v>
      </c>
      <c r="E482" s="573" t="s">
        <v>77</v>
      </c>
      <c r="F482" s="583">
        <v>11</v>
      </c>
      <c r="G482" s="574"/>
      <c r="H482" s="145"/>
      <c r="I482" s="148"/>
      <c r="J482" s="148"/>
      <c r="K482" s="148"/>
      <c r="L482" s="145"/>
      <c r="M482" s="145"/>
      <c r="N482" s="145"/>
      <c r="O482" s="145"/>
      <c r="P482" s="145"/>
      <c r="Q482" s="145"/>
      <c r="W482" s="1"/>
    </row>
    <row r="483" spans="1:23" s="68" customFormat="1" ht="24">
      <c r="A483" s="348">
        <f t="shared" si="9"/>
        <v>456</v>
      </c>
      <c r="B483" s="378" t="s">
        <v>149</v>
      </c>
      <c r="C483" s="377" t="s">
        <v>1151</v>
      </c>
      <c r="D483" s="378" t="s">
        <v>1032</v>
      </c>
      <c r="E483" s="378" t="s">
        <v>1781</v>
      </c>
      <c r="F483" s="354">
        <v>8</v>
      </c>
      <c r="G483" s="378"/>
      <c r="H483" s="145"/>
      <c r="I483" s="148"/>
      <c r="J483" s="148"/>
      <c r="K483" s="148"/>
      <c r="L483" s="145"/>
      <c r="M483" s="145"/>
      <c r="N483" s="145"/>
      <c r="O483" s="145"/>
      <c r="P483" s="145"/>
      <c r="Q483" s="145"/>
      <c r="W483" s="1"/>
    </row>
    <row r="484" spans="1:23" s="68" customFormat="1">
      <c r="A484" s="348">
        <f t="shared" si="9"/>
        <v>457</v>
      </c>
      <c r="B484" s="378" t="s">
        <v>149</v>
      </c>
      <c r="C484" s="377" t="s">
        <v>1034</v>
      </c>
      <c r="D484" s="378"/>
      <c r="E484" s="434" t="s">
        <v>100</v>
      </c>
      <c r="F484" s="379">
        <v>1</v>
      </c>
      <c r="G484" s="557"/>
      <c r="H484" s="145"/>
      <c r="I484" s="148"/>
      <c r="J484" s="148"/>
      <c r="K484" s="148"/>
      <c r="L484" s="145"/>
      <c r="M484" s="145"/>
      <c r="N484" s="145"/>
      <c r="O484" s="145"/>
      <c r="P484" s="145"/>
      <c r="Q484" s="145"/>
      <c r="W484" s="1"/>
    </row>
    <row r="485" spans="1:23" s="68" customFormat="1">
      <c r="A485" s="348">
        <f t="shared" si="9"/>
        <v>458</v>
      </c>
      <c r="B485" s="378" t="s">
        <v>149</v>
      </c>
      <c r="C485" s="561" t="s">
        <v>1035</v>
      </c>
      <c r="D485" s="434"/>
      <c r="E485" s="434" t="s">
        <v>100</v>
      </c>
      <c r="F485" s="379">
        <v>1</v>
      </c>
      <c r="G485" s="557"/>
      <c r="H485" s="145"/>
      <c r="I485" s="148"/>
      <c r="J485" s="148"/>
      <c r="K485" s="148"/>
      <c r="L485" s="145"/>
      <c r="M485" s="145"/>
      <c r="N485" s="145"/>
      <c r="O485" s="145"/>
      <c r="P485" s="145"/>
      <c r="Q485" s="145"/>
      <c r="W485" s="1"/>
    </row>
    <row r="486" spans="1:23" s="68" customFormat="1">
      <c r="A486" s="348">
        <f t="shared" si="9"/>
        <v>459</v>
      </c>
      <c r="B486" s="378" t="s">
        <v>149</v>
      </c>
      <c r="C486" s="561" t="s">
        <v>1036</v>
      </c>
      <c r="D486" s="434"/>
      <c r="E486" s="434" t="s">
        <v>100</v>
      </c>
      <c r="F486" s="379">
        <v>1</v>
      </c>
      <c r="G486" s="557"/>
      <c r="H486" s="145"/>
      <c r="I486" s="148"/>
      <c r="J486" s="148"/>
      <c r="K486" s="148"/>
      <c r="L486" s="145"/>
      <c r="M486" s="145"/>
      <c r="N486" s="145"/>
      <c r="O486" s="145"/>
      <c r="P486" s="145"/>
      <c r="Q486" s="145"/>
      <c r="W486" s="1"/>
    </row>
    <row r="487" spans="1:23" s="68" customFormat="1">
      <c r="A487" s="348">
        <f t="shared" si="9"/>
        <v>460</v>
      </c>
      <c r="B487" s="378" t="s">
        <v>149</v>
      </c>
      <c r="C487" s="561" t="s">
        <v>935</v>
      </c>
      <c r="D487" s="434"/>
      <c r="E487" s="434" t="s">
        <v>100</v>
      </c>
      <c r="F487" s="379">
        <v>1</v>
      </c>
      <c r="G487" s="557"/>
      <c r="H487" s="145"/>
      <c r="I487" s="148"/>
      <c r="J487" s="148"/>
      <c r="K487" s="148"/>
      <c r="L487" s="145"/>
      <c r="M487" s="145"/>
      <c r="N487" s="145"/>
      <c r="O487" s="145"/>
      <c r="P487" s="145"/>
      <c r="Q487" s="145"/>
      <c r="W487" s="1"/>
    </row>
    <row r="488" spans="1:23" s="68" customFormat="1">
      <c r="A488" s="348">
        <f t="shared" si="9"/>
        <v>461</v>
      </c>
      <c r="B488" s="378" t="s">
        <v>149</v>
      </c>
      <c r="C488" s="561" t="s">
        <v>936</v>
      </c>
      <c r="D488" s="434"/>
      <c r="E488" s="434" t="s">
        <v>100</v>
      </c>
      <c r="F488" s="379">
        <v>1</v>
      </c>
      <c r="G488" s="557"/>
      <c r="H488" s="145"/>
      <c r="I488" s="148"/>
      <c r="J488" s="148"/>
      <c r="K488" s="148"/>
      <c r="L488" s="145"/>
      <c r="M488" s="145"/>
      <c r="N488" s="145"/>
      <c r="O488" s="145"/>
      <c r="P488" s="145"/>
      <c r="Q488" s="145"/>
      <c r="W488" s="1"/>
    </row>
    <row r="489" spans="1:23" s="68" customFormat="1">
      <c r="A489" s="348">
        <f t="shared" si="9"/>
        <v>462</v>
      </c>
      <c r="B489" s="378" t="s">
        <v>149</v>
      </c>
      <c r="C489" s="561" t="s">
        <v>1037</v>
      </c>
      <c r="D489" s="434"/>
      <c r="E489" s="434" t="s">
        <v>100</v>
      </c>
      <c r="F489" s="379">
        <v>1</v>
      </c>
      <c r="G489" s="557"/>
      <c r="H489" s="145"/>
      <c r="I489" s="148"/>
      <c r="J489" s="148"/>
      <c r="K489" s="148"/>
      <c r="L489" s="145"/>
      <c r="M489" s="145"/>
      <c r="N489" s="145"/>
      <c r="O489" s="145"/>
      <c r="P489" s="145"/>
      <c r="Q489" s="145"/>
      <c r="W489" s="1"/>
    </row>
    <row r="490" spans="1:23" s="68" customFormat="1">
      <c r="A490" s="348">
        <f t="shared" si="9"/>
        <v>463</v>
      </c>
      <c r="B490" s="378" t="s">
        <v>149</v>
      </c>
      <c r="C490" s="575" t="s">
        <v>982</v>
      </c>
      <c r="D490" s="378"/>
      <c r="E490" s="573" t="s">
        <v>100</v>
      </c>
      <c r="F490" s="354">
        <v>1</v>
      </c>
      <c r="G490" s="435"/>
      <c r="H490" s="145"/>
      <c r="I490" s="148"/>
      <c r="J490" s="148"/>
      <c r="K490" s="148"/>
      <c r="L490" s="145"/>
      <c r="M490" s="145"/>
      <c r="N490" s="145"/>
      <c r="O490" s="145"/>
      <c r="P490" s="145"/>
      <c r="Q490" s="145"/>
      <c r="W490" s="1"/>
    </row>
    <row r="491" spans="1:23" s="68" customFormat="1">
      <c r="A491" s="380">
        <f t="shared" si="9"/>
        <v>464</v>
      </c>
      <c r="B491" s="382" t="s">
        <v>149</v>
      </c>
      <c r="C491" s="381" t="s">
        <v>981</v>
      </c>
      <c r="D491" s="492"/>
      <c r="E491" s="492" t="s">
        <v>100</v>
      </c>
      <c r="F491" s="383">
        <v>1</v>
      </c>
      <c r="G491" s="564"/>
      <c r="H491" s="150"/>
      <c r="I491" s="151"/>
      <c r="J491" s="151"/>
      <c r="K491" s="151"/>
      <c r="L491" s="150"/>
      <c r="M491" s="150"/>
      <c r="N491" s="150"/>
      <c r="O491" s="150"/>
      <c r="P491" s="150"/>
      <c r="Q491" s="150"/>
      <c r="W491" s="1"/>
    </row>
    <row r="492" spans="1:23" s="68" customFormat="1">
      <c r="A492" s="370"/>
      <c r="B492" s="500"/>
      <c r="C492" s="371" t="s">
        <v>1152</v>
      </c>
      <c r="D492" s="547"/>
      <c r="E492" s="547"/>
      <c r="F492" s="580"/>
      <c r="G492" s="547"/>
      <c r="H492" s="135"/>
      <c r="I492" s="152"/>
      <c r="J492" s="152"/>
      <c r="K492" s="152"/>
      <c r="L492" s="135"/>
      <c r="M492" s="135"/>
      <c r="N492" s="135"/>
      <c r="O492" s="135"/>
      <c r="P492" s="135"/>
      <c r="Q492" s="135"/>
      <c r="W492" s="1"/>
    </row>
    <row r="493" spans="1:23" s="68" customFormat="1" ht="48">
      <c r="A493" s="385">
        <f>A491+1</f>
        <v>465</v>
      </c>
      <c r="B493" s="387" t="s">
        <v>149</v>
      </c>
      <c r="C493" s="551" t="s">
        <v>1153</v>
      </c>
      <c r="D493" s="387" t="s">
        <v>1154</v>
      </c>
      <c r="E493" s="571" t="s">
        <v>90</v>
      </c>
      <c r="F493" s="433">
        <v>1</v>
      </c>
      <c r="G493" s="572"/>
      <c r="H493" s="146"/>
      <c r="I493" s="149"/>
      <c r="J493" s="149"/>
      <c r="K493" s="149"/>
      <c r="L493" s="146"/>
      <c r="M493" s="146"/>
      <c r="N493" s="146"/>
      <c r="O493" s="146"/>
      <c r="P493" s="146"/>
      <c r="Q493" s="146"/>
      <c r="W493" s="1"/>
    </row>
    <row r="494" spans="1:23" s="68" customFormat="1">
      <c r="A494" s="348">
        <f>A493+1</f>
        <v>466</v>
      </c>
      <c r="B494" s="378" t="s">
        <v>149</v>
      </c>
      <c r="C494" s="561" t="s">
        <v>999</v>
      </c>
      <c r="D494" s="378" t="s">
        <v>1155</v>
      </c>
      <c r="E494" s="573" t="s">
        <v>93</v>
      </c>
      <c r="F494" s="354">
        <v>2</v>
      </c>
      <c r="G494" s="378"/>
      <c r="H494" s="145"/>
      <c r="I494" s="148"/>
      <c r="J494" s="148"/>
      <c r="K494" s="148"/>
      <c r="L494" s="145"/>
      <c r="M494" s="145"/>
      <c r="N494" s="145"/>
      <c r="O494" s="145"/>
      <c r="P494" s="145"/>
      <c r="Q494" s="145"/>
      <c r="W494" s="1"/>
    </row>
    <row r="495" spans="1:23" s="68" customFormat="1">
      <c r="A495" s="348">
        <f t="shared" si="9"/>
        <v>467</v>
      </c>
      <c r="B495" s="378" t="s">
        <v>149</v>
      </c>
      <c r="C495" s="561" t="s">
        <v>1004</v>
      </c>
      <c r="D495" s="573" t="s">
        <v>1015</v>
      </c>
      <c r="E495" s="573" t="s">
        <v>93</v>
      </c>
      <c r="F495" s="354">
        <v>1</v>
      </c>
      <c r="G495" s="378"/>
      <c r="H495" s="145"/>
      <c r="I495" s="148"/>
      <c r="J495" s="148"/>
      <c r="K495" s="148"/>
      <c r="L495" s="145"/>
      <c r="M495" s="145"/>
      <c r="N495" s="145"/>
      <c r="O495" s="145"/>
      <c r="P495" s="145"/>
      <c r="Q495" s="145"/>
      <c r="W495" s="1"/>
    </row>
    <row r="496" spans="1:23" s="68" customFormat="1">
      <c r="A496" s="348">
        <f t="shared" si="9"/>
        <v>468</v>
      </c>
      <c r="B496" s="378" t="s">
        <v>149</v>
      </c>
      <c r="C496" s="377" t="s">
        <v>1013</v>
      </c>
      <c r="D496" s="573" t="s">
        <v>1015</v>
      </c>
      <c r="E496" s="573" t="s">
        <v>77</v>
      </c>
      <c r="F496" s="583">
        <v>10</v>
      </c>
      <c r="G496" s="574"/>
      <c r="H496" s="145"/>
      <c r="I496" s="148"/>
      <c r="J496" s="148"/>
      <c r="K496" s="148"/>
      <c r="L496" s="145"/>
      <c r="M496" s="145"/>
      <c r="N496" s="145"/>
      <c r="O496" s="145"/>
      <c r="P496" s="145"/>
      <c r="Q496" s="145"/>
      <c r="W496" s="1"/>
    </row>
    <row r="497" spans="1:23" s="68" customFormat="1" ht="24">
      <c r="A497" s="348">
        <f t="shared" si="9"/>
        <v>469</v>
      </c>
      <c r="B497" s="378" t="s">
        <v>149</v>
      </c>
      <c r="C497" s="377" t="s">
        <v>1151</v>
      </c>
      <c r="D497" s="378" t="s">
        <v>1032</v>
      </c>
      <c r="E497" s="378" t="s">
        <v>1781</v>
      </c>
      <c r="F497" s="354">
        <v>8</v>
      </c>
      <c r="G497" s="378"/>
      <c r="H497" s="145"/>
      <c r="I497" s="148"/>
      <c r="J497" s="148"/>
      <c r="K497" s="148"/>
      <c r="L497" s="145"/>
      <c r="M497" s="145"/>
      <c r="N497" s="145"/>
      <c r="O497" s="145"/>
      <c r="P497" s="145"/>
      <c r="Q497" s="145"/>
      <c r="W497" s="1"/>
    </row>
    <row r="498" spans="1:23" s="68" customFormat="1">
      <c r="A498" s="348">
        <f t="shared" si="9"/>
        <v>470</v>
      </c>
      <c r="B498" s="378" t="s">
        <v>149</v>
      </c>
      <c r="C498" s="377" t="s">
        <v>1034</v>
      </c>
      <c r="D498" s="378"/>
      <c r="E498" s="434" t="s">
        <v>100</v>
      </c>
      <c r="F498" s="379">
        <v>1</v>
      </c>
      <c r="G498" s="557"/>
      <c r="H498" s="145"/>
      <c r="I498" s="148"/>
      <c r="J498" s="148"/>
      <c r="K498" s="148"/>
      <c r="L498" s="145"/>
      <c r="M498" s="145"/>
      <c r="N498" s="145"/>
      <c r="O498" s="145"/>
      <c r="P498" s="145"/>
      <c r="Q498" s="145"/>
      <c r="W498" s="1"/>
    </row>
    <row r="499" spans="1:23" s="68" customFormat="1">
      <c r="A499" s="348">
        <f t="shared" si="9"/>
        <v>471</v>
      </c>
      <c r="B499" s="378" t="s">
        <v>149</v>
      </c>
      <c r="C499" s="561" t="s">
        <v>1035</v>
      </c>
      <c r="D499" s="434"/>
      <c r="E499" s="434" t="s">
        <v>100</v>
      </c>
      <c r="F499" s="379">
        <v>1</v>
      </c>
      <c r="G499" s="557"/>
      <c r="H499" s="145"/>
      <c r="I499" s="148"/>
      <c r="J499" s="148"/>
      <c r="K499" s="148"/>
      <c r="L499" s="145"/>
      <c r="M499" s="145"/>
      <c r="N499" s="145"/>
      <c r="O499" s="145"/>
      <c r="P499" s="145"/>
      <c r="Q499" s="145"/>
      <c r="W499" s="1"/>
    </row>
    <row r="500" spans="1:23" s="68" customFormat="1">
      <c r="A500" s="348">
        <f t="shared" si="9"/>
        <v>472</v>
      </c>
      <c r="B500" s="378" t="s">
        <v>149</v>
      </c>
      <c r="C500" s="561" t="s">
        <v>1036</v>
      </c>
      <c r="D500" s="434"/>
      <c r="E500" s="434" t="s">
        <v>100</v>
      </c>
      <c r="F500" s="379">
        <v>1</v>
      </c>
      <c r="G500" s="557"/>
      <c r="H500" s="145"/>
      <c r="I500" s="148"/>
      <c r="J500" s="148"/>
      <c r="K500" s="148"/>
      <c r="L500" s="145"/>
      <c r="M500" s="145"/>
      <c r="N500" s="145"/>
      <c r="O500" s="145"/>
      <c r="P500" s="145"/>
      <c r="Q500" s="145"/>
      <c r="W500" s="1"/>
    </row>
    <row r="501" spans="1:23" s="68" customFormat="1">
      <c r="A501" s="348">
        <f t="shared" si="9"/>
        <v>473</v>
      </c>
      <c r="B501" s="378" t="s">
        <v>149</v>
      </c>
      <c r="C501" s="561" t="s">
        <v>935</v>
      </c>
      <c r="D501" s="434"/>
      <c r="E501" s="434" t="s">
        <v>100</v>
      </c>
      <c r="F501" s="379">
        <v>1</v>
      </c>
      <c r="G501" s="557"/>
      <c r="H501" s="145"/>
      <c r="I501" s="148"/>
      <c r="J501" s="148"/>
      <c r="K501" s="148"/>
      <c r="L501" s="145"/>
      <c r="M501" s="145"/>
      <c r="N501" s="145"/>
      <c r="O501" s="145"/>
      <c r="P501" s="145"/>
      <c r="Q501" s="145"/>
      <c r="W501" s="1"/>
    </row>
    <row r="502" spans="1:23" s="68" customFormat="1">
      <c r="A502" s="348">
        <f t="shared" si="9"/>
        <v>474</v>
      </c>
      <c r="B502" s="378" t="s">
        <v>149</v>
      </c>
      <c r="C502" s="561" t="s">
        <v>936</v>
      </c>
      <c r="D502" s="434"/>
      <c r="E502" s="434" t="s">
        <v>100</v>
      </c>
      <c r="F502" s="379">
        <v>1</v>
      </c>
      <c r="G502" s="557"/>
      <c r="H502" s="145"/>
      <c r="I502" s="148"/>
      <c r="J502" s="148"/>
      <c r="K502" s="148"/>
      <c r="L502" s="145"/>
      <c r="M502" s="145"/>
      <c r="N502" s="145"/>
      <c r="O502" s="145"/>
      <c r="P502" s="145"/>
      <c r="Q502" s="145"/>
      <c r="W502" s="1"/>
    </row>
    <row r="503" spans="1:23" s="68" customFormat="1">
      <c r="A503" s="348">
        <f t="shared" si="9"/>
        <v>475</v>
      </c>
      <c r="B503" s="378" t="s">
        <v>149</v>
      </c>
      <c r="C503" s="561" t="s">
        <v>1037</v>
      </c>
      <c r="D503" s="434"/>
      <c r="E503" s="434" t="s">
        <v>100</v>
      </c>
      <c r="F503" s="379">
        <v>1</v>
      </c>
      <c r="G503" s="557"/>
      <c r="H503" s="145"/>
      <c r="I503" s="148"/>
      <c r="J503" s="148"/>
      <c r="K503" s="148"/>
      <c r="L503" s="145"/>
      <c r="M503" s="145"/>
      <c r="N503" s="145"/>
      <c r="O503" s="145"/>
      <c r="P503" s="145"/>
      <c r="Q503" s="145"/>
      <c r="W503" s="1"/>
    </row>
    <row r="504" spans="1:23" s="68" customFormat="1">
      <c r="A504" s="348">
        <f t="shared" si="9"/>
        <v>476</v>
      </c>
      <c r="B504" s="378" t="s">
        <v>149</v>
      </c>
      <c r="C504" s="575" t="s">
        <v>982</v>
      </c>
      <c r="D504" s="378"/>
      <c r="E504" s="573" t="s">
        <v>100</v>
      </c>
      <c r="F504" s="354">
        <v>1</v>
      </c>
      <c r="G504" s="435"/>
      <c r="H504" s="145"/>
      <c r="I504" s="148"/>
      <c r="J504" s="148"/>
      <c r="K504" s="148"/>
      <c r="L504" s="145"/>
      <c r="M504" s="145"/>
      <c r="N504" s="145"/>
      <c r="O504" s="145"/>
      <c r="P504" s="145"/>
      <c r="Q504" s="145"/>
      <c r="W504" s="1"/>
    </row>
    <row r="505" spans="1:23" s="68" customFormat="1">
      <c r="A505" s="380">
        <f t="shared" si="9"/>
        <v>477</v>
      </c>
      <c r="B505" s="382" t="s">
        <v>149</v>
      </c>
      <c r="C505" s="381" t="s">
        <v>981</v>
      </c>
      <c r="D505" s="492"/>
      <c r="E505" s="492" t="s">
        <v>100</v>
      </c>
      <c r="F505" s="383">
        <v>1</v>
      </c>
      <c r="G505" s="564"/>
      <c r="H505" s="150"/>
      <c r="I505" s="151"/>
      <c r="J505" s="151"/>
      <c r="K505" s="151"/>
      <c r="L505" s="150"/>
      <c r="M505" s="150"/>
      <c r="N505" s="150"/>
      <c r="O505" s="150"/>
      <c r="P505" s="150"/>
      <c r="Q505" s="150"/>
      <c r="W505" s="1"/>
    </row>
    <row r="506" spans="1:23" s="68" customFormat="1">
      <c r="A506" s="370"/>
      <c r="B506" s="500"/>
      <c r="C506" s="371" t="s">
        <v>1156</v>
      </c>
      <c r="D506" s="547"/>
      <c r="E506" s="547"/>
      <c r="F506" s="580"/>
      <c r="G506" s="547"/>
      <c r="H506" s="135"/>
      <c r="I506" s="152"/>
      <c r="J506" s="152"/>
      <c r="K506" s="152"/>
      <c r="L506" s="135"/>
      <c r="M506" s="135"/>
      <c r="N506" s="135"/>
      <c r="O506" s="135"/>
      <c r="P506" s="135"/>
      <c r="Q506" s="135"/>
      <c r="W506" s="1"/>
    </row>
    <row r="507" spans="1:23" s="68" customFormat="1" ht="48">
      <c r="A507" s="385">
        <f>A505+1</f>
        <v>478</v>
      </c>
      <c r="B507" s="387" t="s">
        <v>149</v>
      </c>
      <c r="C507" s="551" t="s">
        <v>1153</v>
      </c>
      <c r="D507" s="387" t="s">
        <v>1154</v>
      </c>
      <c r="E507" s="571" t="s">
        <v>90</v>
      </c>
      <c r="F507" s="433">
        <v>1</v>
      </c>
      <c r="G507" s="572"/>
      <c r="H507" s="146"/>
      <c r="I507" s="149"/>
      <c r="J507" s="149"/>
      <c r="K507" s="149"/>
      <c r="L507" s="146"/>
      <c r="M507" s="146"/>
      <c r="N507" s="146"/>
      <c r="O507" s="146"/>
      <c r="P507" s="146"/>
      <c r="Q507" s="146"/>
      <c r="W507" s="1"/>
    </row>
    <row r="508" spans="1:23" s="68" customFormat="1">
      <c r="A508" s="348">
        <f>A507+1</f>
        <v>479</v>
      </c>
      <c r="B508" s="378" t="s">
        <v>149</v>
      </c>
      <c r="C508" s="561" t="s">
        <v>999</v>
      </c>
      <c r="D508" s="378" t="s">
        <v>1155</v>
      </c>
      <c r="E508" s="573" t="s">
        <v>93</v>
      </c>
      <c r="F508" s="354">
        <v>1</v>
      </c>
      <c r="G508" s="378"/>
      <c r="H508" s="145"/>
      <c r="I508" s="148"/>
      <c r="J508" s="148"/>
      <c r="K508" s="148"/>
      <c r="L508" s="145"/>
      <c r="M508" s="145"/>
      <c r="N508" s="145"/>
      <c r="O508" s="145"/>
      <c r="P508" s="145"/>
      <c r="Q508" s="145"/>
      <c r="W508" s="1"/>
    </row>
    <row r="509" spans="1:23" s="68" customFormat="1">
      <c r="A509" s="348">
        <f t="shared" si="9"/>
        <v>480</v>
      </c>
      <c r="B509" s="378" t="s">
        <v>149</v>
      </c>
      <c r="C509" s="561" t="s">
        <v>1004</v>
      </c>
      <c r="D509" s="573" t="s">
        <v>1015</v>
      </c>
      <c r="E509" s="573" t="s">
        <v>93</v>
      </c>
      <c r="F509" s="354">
        <v>1</v>
      </c>
      <c r="G509" s="378"/>
      <c r="H509" s="145"/>
      <c r="I509" s="148"/>
      <c r="J509" s="148"/>
      <c r="K509" s="148"/>
      <c r="L509" s="145"/>
      <c r="M509" s="145"/>
      <c r="N509" s="145"/>
      <c r="O509" s="145"/>
      <c r="P509" s="145"/>
      <c r="Q509" s="145"/>
      <c r="W509" s="1"/>
    </row>
    <row r="510" spans="1:23" s="68" customFormat="1">
      <c r="A510" s="348">
        <f t="shared" si="9"/>
        <v>481</v>
      </c>
      <c r="B510" s="378" t="s">
        <v>149</v>
      </c>
      <c r="C510" s="377" t="s">
        <v>1013</v>
      </c>
      <c r="D510" s="573" t="s">
        <v>1015</v>
      </c>
      <c r="E510" s="573" t="s">
        <v>77</v>
      </c>
      <c r="F510" s="583">
        <v>8</v>
      </c>
      <c r="G510" s="574"/>
      <c r="H510" s="145"/>
      <c r="I510" s="148"/>
      <c r="J510" s="148"/>
      <c r="K510" s="148"/>
      <c r="L510" s="145"/>
      <c r="M510" s="145"/>
      <c r="N510" s="145"/>
      <c r="O510" s="145"/>
      <c r="P510" s="145"/>
      <c r="Q510" s="145"/>
      <c r="W510" s="1"/>
    </row>
    <row r="511" spans="1:23" s="68" customFormat="1" ht="24">
      <c r="A511" s="348">
        <f t="shared" si="9"/>
        <v>482</v>
      </c>
      <c r="B511" s="378" t="s">
        <v>149</v>
      </c>
      <c r="C511" s="377" t="s">
        <v>1151</v>
      </c>
      <c r="D511" s="378" t="s">
        <v>1032</v>
      </c>
      <c r="E511" s="378" t="s">
        <v>1781</v>
      </c>
      <c r="F511" s="354">
        <v>6</v>
      </c>
      <c r="G511" s="378"/>
      <c r="H511" s="145"/>
      <c r="I511" s="148"/>
      <c r="J511" s="148"/>
      <c r="K511" s="148"/>
      <c r="L511" s="145"/>
      <c r="M511" s="145"/>
      <c r="N511" s="145"/>
      <c r="O511" s="145"/>
      <c r="P511" s="145"/>
      <c r="Q511" s="145"/>
      <c r="W511" s="1"/>
    </row>
    <row r="512" spans="1:23" s="68" customFormat="1">
      <c r="A512" s="348">
        <f t="shared" si="9"/>
        <v>483</v>
      </c>
      <c r="B512" s="378" t="s">
        <v>149</v>
      </c>
      <c r="C512" s="377" t="s">
        <v>1034</v>
      </c>
      <c r="D512" s="378"/>
      <c r="E512" s="434" t="s">
        <v>100</v>
      </c>
      <c r="F512" s="379">
        <v>1</v>
      </c>
      <c r="G512" s="557"/>
      <c r="H512" s="145"/>
      <c r="I512" s="148"/>
      <c r="J512" s="148"/>
      <c r="K512" s="148"/>
      <c r="L512" s="145"/>
      <c r="M512" s="145"/>
      <c r="N512" s="145"/>
      <c r="O512" s="145"/>
      <c r="P512" s="145"/>
      <c r="Q512" s="145"/>
      <c r="W512" s="1"/>
    </row>
    <row r="513" spans="1:23" s="68" customFormat="1">
      <c r="A513" s="348">
        <f t="shared" si="9"/>
        <v>484</v>
      </c>
      <c r="B513" s="378" t="s">
        <v>149</v>
      </c>
      <c r="C513" s="561" t="s">
        <v>1035</v>
      </c>
      <c r="D513" s="434"/>
      <c r="E513" s="434" t="s">
        <v>100</v>
      </c>
      <c r="F513" s="379">
        <v>1</v>
      </c>
      <c r="G513" s="557"/>
      <c r="H513" s="145"/>
      <c r="I513" s="148"/>
      <c r="J513" s="148"/>
      <c r="K513" s="148"/>
      <c r="L513" s="145"/>
      <c r="M513" s="145"/>
      <c r="N513" s="145"/>
      <c r="O513" s="145"/>
      <c r="P513" s="145"/>
      <c r="Q513" s="145"/>
      <c r="W513" s="1"/>
    </row>
    <row r="514" spans="1:23" s="68" customFormat="1">
      <c r="A514" s="348">
        <f t="shared" si="9"/>
        <v>485</v>
      </c>
      <c r="B514" s="378" t="s">
        <v>149</v>
      </c>
      <c r="C514" s="561" t="s">
        <v>1036</v>
      </c>
      <c r="D514" s="434"/>
      <c r="E514" s="434" t="s">
        <v>100</v>
      </c>
      <c r="F514" s="379">
        <v>1</v>
      </c>
      <c r="G514" s="557"/>
      <c r="H514" s="145"/>
      <c r="I514" s="148"/>
      <c r="J514" s="148"/>
      <c r="K514" s="148"/>
      <c r="L514" s="145"/>
      <c r="M514" s="145"/>
      <c r="N514" s="145"/>
      <c r="O514" s="145"/>
      <c r="P514" s="145"/>
      <c r="Q514" s="145"/>
      <c r="W514" s="1"/>
    </row>
    <row r="515" spans="1:23" s="68" customFormat="1">
      <c r="A515" s="348">
        <f t="shared" si="9"/>
        <v>486</v>
      </c>
      <c r="B515" s="378" t="s">
        <v>149</v>
      </c>
      <c r="C515" s="561" t="s">
        <v>935</v>
      </c>
      <c r="D515" s="434"/>
      <c r="E515" s="434" t="s">
        <v>100</v>
      </c>
      <c r="F515" s="379">
        <v>1</v>
      </c>
      <c r="G515" s="557"/>
      <c r="H515" s="145"/>
      <c r="I515" s="148"/>
      <c r="J515" s="148"/>
      <c r="K515" s="148"/>
      <c r="L515" s="145"/>
      <c r="M515" s="145"/>
      <c r="N515" s="145"/>
      <c r="O515" s="145"/>
      <c r="P515" s="145"/>
      <c r="Q515" s="145"/>
      <c r="W515" s="1"/>
    </row>
    <row r="516" spans="1:23" s="68" customFormat="1">
      <c r="A516" s="348">
        <f t="shared" si="9"/>
        <v>487</v>
      </c>
      <c r="B516" s="378" t="s">
        <v>149</v>
      </c>
      <c r="C516" s="561" t="s">
        <v>936</v>
      </c>
      <c r="D516" s="434"/>
      <c r="E516" s="434" t="s">
        <v>100</v>
      </c>
      <c r="F516" s="379">
        <v>1</v>
      </c>
      <c r="G516" s="557"/>
      <c r="H516" s="145"/>
      <c r="I516" s="148"/>
      <c r="J516" s="148"/>
      <c r="K516" s="148"/>
      <c r="L516" s="145"/>
      <c r="M516" s="145"/>
      <c r="N516" s="145"/>
      <c r="O516" s="145"/>
      <c r="P516" s="145"/>
      <c r="Q516" s="145"/>
      <c r="W516" s="1"/>
    </row>
    <row r="517" spans="1:23" s="68" customFormat="1">
      <c r="A517" s="348">
        <f t="shared" si="9"/>
        <v>488</v>
      </c>
      <c r="B517" s="378" t="s">
        <v>149</v>
      </c>
      <c r="C517" s="561" t="s">
        <v>1037</v>
      </c>
      <c r="D517" s="434"/>
      <c r="E517" s="434" t="s">
        <v>100</v>
      </c>
      <c r="F517" s="379">
        <v>1</v>
      </c>
      <c r="G517" s="557"/>
      <c r="H517" s="145"/>
      <c r="I517" s="148"/>
      <c r="J517" s="148"/>
      <c r="K517" s="148"/>
      <c r="L517" s="145"/>
      <c r="M517" s="145"/>
      <c r="N517" s="145"/>
      <c r="O517" s="145"/>
      <c r="P517" s="145"/>
      <c r="Q517" s="145"/>
      <c r="W517" s="1"/>
    </row>
    <row r="518" spans="1:23" s="68" customFormat="1">
      <c r="A518" s="348">
        <f t="shared" si="9"/>
        <v>489</v>
      </c>
      <c r="B518" s="378" t="s">
        <v>149</v>
      </c>
      <c r="C518" s="575" t="s">
        <v>982</v>
      </c>
      <c r="D518" s="378"/>
      <c r="E518" s="573" t="s">
        <v>100</v>
      </c>
      <c r="F518" s="354">
        <v>1</v>
      </c>
      <c r="G518" s="435"/>
      <c r="H518" s="145"/>
      <c r="I518" s="148"/>
      <c r="J518" s="148"/>
      <c r="K518" s="148"/>
      <c r="L518" s="145"/>
      <c r="M518" s="145"/>
      <c r="N518" s="145"/>
      <c r="O518" s="145"/>
      <c r="P518" s="145"/>
      <c r="Q518" s="145"/>
      <c r="W518" s="1"/>
    </row>
    <row r="519" spans="1:23" s="68" customFormat="1">
      <c r="A519" s="380">
        <f t="shared" si="9"/>
        <v>490</v>
      </c>
      <c r="B519" s="382" t="s">
        <v>149</v>
      </c>
      <c r="C519" s="381" t="s">
        <v>981</v>
      </c>
      <c r="D519" s="492"/>
      <c r="E519" s="492" t="s">
        <v>100</v>
      </c>
      <c r="F519" s="383">
        <v>1</v>
      </c>
      <c r="G519" s="564"/>
      <c r="H519" s="150"/>
      <c r="I519" s="151"/>
      <c r="J519" s="151"/>
      <c r="K519" s="151"/>
      <c r="L519" s="150"/>
      <c r="M519" s="150"/>
      <c r="N519" s="150"/>
      <c r="O519" s="150"/>
      <c r="P519" s="150"/>
      <c r="Q519" s="150"/>
      <c r="W519" s="1"/>
    </row>
    <row r="520" spans="1:23" s="68" customFormat="1">
      <c r="A520" s="370"/>
      <c r="B520" s="500"/>
      <c r="C520" s="371" t="s">
        <v>1157</v>
      </c>
      <c r="D520" s="547"/>
      <c r="E520" s="547"/>
      <c r="F520" s="580"/>
      <c r="G520" s="547"/>
      <c r="H520" s="135"/>
      <c r="I520" s="152"/>
      <c r="J520" s="152"/>
      <c r="K520" s="152"/>
      <c r="L520" s="135"/>
      <c r="M520" s="135"/>
      <c r="N520" s="135"/>
      <c r="O520" s="135"/>
      <c r="P520" s="135"/>
      <c r="Q520" s="135"/>
      <c r="W520" s="1"/>
    </row>
    <row r="521" spans="1:23" s="68" customFormat="1" ht="48">
      <c r="A521" s="385">
        <f>A519+1</f>
        <v>491</v>
      </c>
      <c r="B521" s="387" t="s">
        <v>149</v>
      </c>
      <c r="C521" s="551" t="s">
        <v>1153</v>
      </c>
      <c r="D521" s="387" t="s">
        <v>1154</v>
      </c>
      <c r="E521" s="571" t="s">
        <v>90</v>
      </c>
      <c r="F521" s="433">
        <v>1</v>
      </c>
      <c r="G521" s="572"/>
      <c r="H521" s="146"/>
      <c r="I521" s="149"/>
      <c r="J521" s="149"/>
      <c r="K521" s="149"/>
      <c r="L521" s="146"/>
      <c r="M521" s="146"/>
      <c r="N521" s="146"/>
      <c r="O521" s="146"/>
      <c r="P521" s="146"/>
      <c r="Q521" s="146"/>
      <c r="W521" s="1"/>
    </row>
    <row r="522" spans="1:23" s="68" customFormat="1">
      <c r="A522" s="348">
        <f>A521+1</f>
        <v>492</v>
      </c>
      <c r="B522" s="378" t="s">
        <v>149</v>
      </c>
      <c r="C522" s="561" t="s">
        <v>999</v>
      </c>
      <c r="D522" s="378" t="s">
        <v>1155</v>
      </c>
      <c r="E522" s="573" t="s">
        <v>93</v>
      </c>
      <c r="F522" s="354">
        <v>1</v>
      </c>
      <c r="G522" s="378"/>
      <c r="H522" s="145"/>
      <c r="I522" s="148"/>
      <c r="J522" s="148"/>
      <c r="K522" s="148"/>
      <c r="L522" s="145"/>
      <c r="M522" s="145"/>
      <c r="N522" s="145"/>
      <c r="O522" s="145"/>
      <c r="P522" s="145"/>
      <c r="Q522" s="145"/>
      <c r="W522" s="1"/>
    </row>
    <row r="523" spans="1:23" s="68" customFormat="1">
      <c r="A523" s="348">
        <f t="shared" si="9"/>
        <v>493</v>
      </c>
      <c r="B523" s="378" t="s">
        <v>149</v>
      </c>
      <c r="C523" s="561" t="s">
        <v>1004</v>
      </c>
      <c r="D523" s="573" t="s">
        <v>1015</v>
      </c>
      <c r="E523" s="573" t="s">
        <v>93</v>
      </c>
      <c r="F523" s="354">
        <v>1</v>
      </c>
      <c r="G523" s="378"/>
      <c r="H523" s="145"/>
      <c r="I523" s="148"/>
      <c r="J523" s="148"/>
      <c r="K523" s="148"/>
      <c r="L523" s="145"/>
      <c r="M523" s="145"/>
      <c r="N523" s="145"/>
      <c r="O523" s="145"/>
      <c r="P523" s="145"/>
      <c r="Q523" s="145"/>
      <c r="W523" s="1"/>
    </row>
    <row r="524" spans="1:23" s="68" customFormat="1">
      <c r="A524" s="348">
        <f t="shared" si="9"/>
        <v>494</v>
      </c>
      <c r="B524" s="378" t="s">
        <v>149</v>
      </c>
      <c r="C524" s="377" t="s">
        <v>1013</v>
      </c>
      <c r="D524" s="573" t="s">
        <v>1015</v>
      </c>
      <c r="E524" s="573" t="s">
        <v>77</v>
      </c>
      <c r="F524" s="583">
        <v>4</v>
      </c>
      <c r="G524" s="574"/>
      <c r="H524" s="145"/>
      <c r="I524" s="148"/>
      <c r="J524" s="148"/>
      <c r="K524" s="148"/>
      <c r="L524" s="145"/>
      <c r="M524" s="145"/>
      <c r="N524" s="145"/>
      <c r="O524" s="145"/>
      <c r="P524" s="145"/>
      <c r="Q524" s="145"/>
      <c r="W524" s="1"/>
    </row>
    <row r="525" spans="1:23" s="68" customFormat="1" ht="24">
      <c r="A525" s="348">
        <f t="shared" si="9"/>
        <v>495</v>
      </c>
      <c r="B525" s="378" t="s">
        <v>149</v>
      </c>
      <c r="C525" s="377" t="s">
        <v>1151</v>
      </c>
      <c r="D525" s="378" t="s">
        <v>1032</v>
      </c>
      <c r="E525" s="378" t="s">
        <v>1781</v>
      </c>
      <c r="F525" s="354">
        <v>2</v>
      </c>
      <c r="G525" s="378"/>
      <c r="H525" s="145"/>
      <c r="I525" s="148"/>
      <c r="J525" s="148"/>
      <c r="K525" s="148"/>
      <c r="L525" s="145"/>
      <c r="M525" s="145"/>
      <c r="N525" s="145"/>
      <c r="O525" s="145"/>
      <c r="P525" s="145"/>
      <c r="Q525" s="145"/>
      <c r="W525" s="1"/>
    </row>
    <row r="526" spans="1:23" s="68" customFormat="1">
      <c r="A526" s="348">
        <f t="shared" si="9"/>
        <v>496</v>
      </c>
      <c r="B526" s="378" t="s">
        <v>149</v>
      </c>
      <c r="C526" s="377" t="s">
        <v>1034</v>
      </c>
      <c r="D526" s="378"/>
      <c r="E526" s="434" t="s">
        <v>100</v>
      </c>
      <c r="F526" s="379">
        <v>1</v>
      </c>
      <c r="G526" s="557"/>
      <c r="H526" s="145"/>
      <c r="I526" s="148"/>
      <c r="J526" s="148"/>
      <c r="K526" s="148"/>
      <c r="L526" s="145"/>
      <c r="M526" s="145"/>
      <c r="N526" s="145"/>
      <c r="O526" s="145"/>
      <c r="P526" s="145"/>
      <c r="Q526" s="145"/>
      <c r="W526" s="1"/>
    </row>
    <row r="527" spans="1:23" s="68" customFormat="1">
      <c r="A527" s="348">
        <f t="shared" si="9"/>
        <v>497</v>
      </c>
      <c r="B527" s="378" t="s">
        <v>149</v>
      </c>
      <c r="C527" s="561" t="s">
        <v>1035</v>
      </c>
      <c r="D527" s="434"/>
      <c r="E527" s="434" t="s">
        <v>100</v>
      </c>
      <c r="F527" s="379">
        <v>1</v>
      </c>
      <c r="G527" s="557"/>
      <c r="H527" s="145"/>
      <c r="I527" s="148"/>
      <c r="J527" s="148"/>
      <c r="K527" s="148"/>
      <c r="L527" s="145"/>
      <c r="M527" s="145"/>
      <c r="N527" s="145"/>
      <c r="O527" s="145"/>
      <c r="P527" s="145"/>
      <c r="Q527" s="145"/>
      <c r="W527" s="1"/>
    </row>
    <row r="528" spans="1:23" s="68" customFormat="1">
      <c r="A528" s="348">
        <f t="shared" si="9"/>
        <v>498</v>
      </c>
      <c r="B528" s="378" t="s">
        <v>149</v>
      </c>
      <c r="C528" s="561" t="s">
        <v>1036</v>
      </c>
      <c r="D528" s="434"/>
      <c r="E528" s="434" t="s">
        <v>100</v>
      </c>
      <c r="F528" s="379">
        <v>1</v>
      </c>
      <c r="G528" s="557"/>
      <c r="H528" s="145"/>
      <c r="I528" s="148"/>
      <c r="J528" s="148"/>
      <c r="K528" s="148"/>
      <c r="L528" s="145"/>
      <c r="M528" s="145"/>
      <c r="N528" s="145"/>
      <c r="O528" s="145"/>
      <c r="P528" s="145"/>
      <c r="Q528" s="145"/>
      <c r="W528" s="1"/>
    </row>
    <row r="529" spans="1:23" s="68" customFormat="1">
      <c r="A529" s="348">
        <f t="shared" si="9"/>
        <v>499</v>
      </c>
      <c r="B529" s="378" t="s">
        <v>149</v>
      </c>
      <c r="C529" s="561" t="s">
        <v>935</v>
      </c>
      <c r="D529" s="434"/>
      <c r="E529" s="434" t="s">
        <v>100</v>
      </c>
      <c r="F529" s="379">
        <v>1</v>
      </c>
      <c r="G529" s="557"/>
      <c r="H529" s="145"/>
      <c r="I529" s="148"/>
      <c r="J529" s="148"/>
      <c r="K529" s="148"/>
      <c r="L529" s="145"/>
      <c r="M529" s="145"/>
      <c r="N529" s="145"/>
      <c r="O529" s="145"/>
      <c r="P529" s="145"/>
      <c r="Q529" s="145"/>
      <c r="W529" s="1"/>
    </row>
    <row r="530" spans="1:23" s="68" customFormat="1">
      <c r="A530" s="348">
        <f t="shared" si="9"/>
        <v>500</v>
      </c>
      <c r="B530" s="378" t="s">
        <v>149</v>
      </c>
      <c r="C530" s="561" t="s">
        <v>936</v>
      </c>
      <c r="D530" s="434"/>
      <c r="E530" s="434" t="s">
        <v>100</v>
      </c>
      <c r="F530" s="379">
        <v>1</v>
      </c>
      <c r="G530" s="557"/>
      <c r="H530" s="145"/>
      <c r="I530" s="148"/>
      <c r="J530" s="148"/>
      <c r="K530" s="148"/>
      <c r="L530" s="145"/>
      <c r="M530" s="145"/>
      <c r="N530" s="145"/>
      <c r="O530" s="145"/>
      <c r="P530" s="145"/>
      <c r="Q530" s="145"/>
      <c r="W530" s="1"/>
    </row>
    <row r="531" spans="1:23" s="68" customFormat="1">
      <c r="A531" s="348">
        <f t="shared" si="9"/>
        <v>501</v>
      </c>
      <c r="B531" s="378" t="s">
        <v>149</v>
      </c>
      <c r="C531" s="561" t="s">
        <v>1037</v>
      </c>
      <c r="D531" s="434"/>
      <c r="E531" s="434" t="s">
        <v>100</v>
      </c>
      <c r="F531" s="379">
        <v>1</v>
      </c>
      <c r="G531" s="557"/>
      <c r="H531" s="145"/>
      <c r="I531" s="148"/>
      <c r="J531" s="148"/>
      <c r="K531" s="148"/>
      <c r="L531" s="145"/>
      <c r="M531" s="145"/>
      <c r="N531" s="145"/>
      <c r="O531" s="145"/>
      <c r="P531" s="145"/>
      <c r="Q531" s="145"/>
      <c r="W531" s="1"/>
    </row>
    <row r="532" spans="1:23" s="68" customFormat="1">
      <c r="A532" s="348">
        <f t="shared" si="9"/>
        <v>502</v>
      </c>
      <c r="B532" s="378" t="s">
        <v>149</v>
      </c>
      <c r="C532" s="575" t="s">
        <v>982</v>
      </c>
      <c r="D532" s="378"/>
      <c r="E532" s="573" t="s">
        <v>100</v>
      </c>
      <c r="F532" s="354">
        <v>1</v>
      </c>
      <c r="G532" s="435"/>
      <c r="H532" s="145"/>
      <c r="I532" s="148"/>
      <c r="J532" s="148"/>
      <c r="K532" s="148"/>
      <c r="L532" s="145"/>
      <c r="M532" s="145"/>
      <c r="N532" s="145"/>
      <c r="O532" s="145"/>
      <c r="P532" s="145"/>
      <c r="Q532" s="145"/>
      <c r="W532" s="1"/>
    </row>
    <row r="533" spans="1:23" s="68" customFormat="1">
      <c r="A533" s="380">
        <f t="shared" si="9"/>
        <v>503</v>
      </c>
      <c r="B533" s="382" t="s">
        <v>149</v>
      </c>
      <c r="C533" s="381" t="s">
        <v>981</v>
      </c>
      <c r="D533" s="492"/>
      <c r="E533" s="492" t="s">
        <v>100</v>
      </c>
      <c r="F533" s="383">
        <v>1</v>
      </c>
      <c r="G533" s="564"/>
      <c r="H533" s="150"/>
      <c r="I533" s="151"/>
      <c r="J533" s="151"/>
      <c r="K533" s="151"/>
      <c r="L533" s="150"/>
      <c r="M533" s="150"/>
      <c r="N533" s="150"/>
      <c r="O533" s="150"/>
      <c r="P533" s="150"/>
      <c r="Q533" s="150"/>
      <c r="W533" s="1"/>
    </row>
    <row r="534" spans="1:23" s="68" customFormat="1">
      <c r="A534" s="370"/>
      <c r="B534" s="500"/>
      <c r="C534" s="371" t="s">
        <v>1158</v>
      </c>
      <c r="D534" s="547"/>
      <c r="E534" s="547"/>
      <c r="F534" s="580"/>
      <c r="G534" s="547"/>
      <c r="H534" s="135"/>
      <c r="I534" s="152"/>
      <c r="J534" s="152"/>
      <c r="K534" s="152"/>
      <c r="L534" s="135"/>
      <c r="M534" s="135"/>
      <c r="N534" s="135"/>
      <c r="O534" s="135"/>
      <c r="P534" s="135"/>
      <c r="Q534" s="135"/>
      <c r="W534" s="1"/>
    </row>
    <row r="535" spans="1:23" s="68" customFormat="1" ht="48">
      <c r="A535" s="385">
        <f>A533+1</f>
        <v>504</v>
      </c>
      <c r="B535" s="387" t="s">
        <v>149</v>
      </c>
      <c r="C535" s="551" t="s">
        <v>1159</v>
      </c>
      <c r="D535" s="387" t="s">
        <v>1160</v>
      </c>
      <c r="E535" s="571" t="s">
        <v>90</v>
      </c>
      <c r="F535" s="433">
        <v>1</v>
      </c>
      <c r="G535" s="572"/>
      <c r="H535" s="146"/>
      <c r="I535" s="149"/>
      <c r="J535" s="149"/>
      <c r="K535" s="149"/>
      <c r="L535" s="146"/>
      <c r="M535" s="146"/>
      <c r="N535" s="146"/>
      <c r="O535" s="146"/>
      <c r="P535" s="146"/>
      <c r="Q535" s="146"/>
      <c r="W535" s="1"/>
    </row>
    <row r="536" spans="1:23" s="68" customFormat="1">
      <c r="A536" s="348">
        <f>A535+1</f>
        <v>505</v>
      </c>
      <c r="B536" s="378" t="s">
        <v>149</v>
      </c>
      <c r="C536" s="377" t="s">
        <v>1146</v>
      </c>
      <c r="D536" s="378" t="s">
        <v>1161</v>
      </c>
      <c r="E536" s="573" t="s">
        <v>93</v>
      </c>
      <c r="F536" s="354">
        <v>1</v>
      </c>
      <c r="G536" s="378"/>
      <c r="H536" s="145"/>
      <c r="I536" s="148"/>
      <c r="J536" s="148"/>
      <c r="K536" s="148"/>
      <c r="L536" s="145"/>
      <c r="M536" s="145"/>
      <c r="N536" s="145"/>
      <c r="O536" s="145"/>
      <c r="P536" s="145"/>
      <c r="Q536" s="145"/>
      <c r="W536" s="1"/>
    </row>
    <row r="537" spans="1:23" s="68" customFormat="1">
      <c r="A537" s="348">
        <f t="shared" ref="A537:A574" si="10">A536+1</f>
        <v>506</v>
      </c>
      <c r="B537" s="378" t="s">
        <v>149</v>
      </c>
      <c r="C537" s="377" t="s">
        <v>1013</v>
      </c>
      <c r="D537" s="573" t="s">
        <v>1014</v>
      </c>
      <c r="E537" s="573" t="s">
        <v>77</v>
      </c>
      <c r="F537" s="583">
        <v>4</v>
      </c>
      <c r="G537" s="574"/>
      <c r="H537" s="145"/>
      <c r="I537" s="148"/>
      <c r="J537" s="148"/>
      <c r="K537" s="148"/>
      <c r="L537" s="145"/>
      <c r="M537" s="145"/>
      <c r="N537" s="145"/>
      <c r="O537" s="145"/>
      <c r="P537" s="145"/>
      <c r="Q537" s="145"/>
      <c r="W537" s="1"/>
    </row>
    <row r="538" spans="1:23" s="68" customFormat="1" ht="24">
      <c r="A538" s="348">
        <f t="shared" si="10"/>
        <v>507</v>
      </c>
      <c r="B538" s="378" t="s">
        <v>149</v>
      </c>
      <c r="C538" s="377" t="s">
        <v>1151</v>
      </c>
      <c r="D538" s="378" t="s">
        <v>1032</v>
      </c>
      <c r="E538" s="378" t="s">
        <v>1781</v>
      </c>
      <c r="F538" s="354">
        <v>2</v>
      </c>
      <c r="G538" s="378"/>
      <c r="H538" s="145"/>
      <c r="I538" s="148"/>
      <c r="J538" s="148"/>
      <c r="K538" s="148"/>
      <c r="L538" s="145"/>
      <c r="M538" s="145"/>
      <c r="N538" s="145"/>
      <c r="O538" s="145"/>
      <c r="P538" s="145"/>
      <c r="Q538" s="145"/>
      <c r="W538" s="1"/>
    </row>
    <row r="539" spans="1:23" s="68" customFormat="1">
      <c r="A539" s="348">
        <f t="shared" si="10"/>
        <v>508</v>
      </c>
      <c r="B539" s="378" t="s">
        <v>149</v>
      </c>
      <c r="C539" s="377" t="s">
        <v>1034</v>
      </c>
      <c r="D539" s="378"/>
      <c r="E539" s="434" t="s">
        <v>100</v>
      </c>
      <c r="F539" s="379">
        <v>1</v>
      </c>
      <c r="G539" s="557"/>
      <c r="H539" s="145"/>
      <c r="I539" s="148"/>
      <c r="J539" s="148"/>
      <c r="K539" s="148"/>
      <c r="L539" s="145"/>
      <c r="M539" s="145"/>
      <c r="N539" s="145"/>
      <c r="O539" s="145"/>
      <c r="P539" s="145"/>
      <c r="Q539" s="145"/>
      <c r="W539" s="1"/>
    </row>
    <row r="540" spans="1:23" s="68" customFormat="1">
      <c r="A540" s="348">
        <f t="shared" si="10"/>
        <v>509</v>
      </c>
      <c r="B540" s="378" t="s">
        <v>149</v>
      </c>
      <c r="C540" s="561" t="s">
        <v>1035</v>
      </c>
      <c r="D540" s="434"/>
      <c r="E540" s="434" t="s">
        <v>100</v>
      </c>
      <c r="F540" s="379">
        <v>1</v>
      </c>
      <c r="G540" s="557"/>
      <c r="H540" s="145"/>
      <c r="I540" s="148"/>
      <c r="J540" s="148"/>
      <c r="K540" s="148"/>
      <c r="L540" s="145"/>
      <c r="M540" s="145"/>
      <c r="N540" s="145"/>
      <c r="O540" s="145"/>
      <c r="P540" s="145"/>
      <c r="Q540" s="145"/>
      <c r="W540" s="1"/>
    </row>
    <row r="541" spans="1:23" s="68" customFormat="1">
      <c r="A541" s="348">
        <f t="shared" si="10"/>
        <v>510</v>
      </c>
      <c r="B541" s="378" t="s">
        <v>149</v>
      </c>
      <c r="C541" s="561" t="s">
        <v>1036</v>
      </c>
      <c r="D541" s="434"/>
      <c r="E541" s="434" t="s">
        <v>100</v>
      </c>
      <c r="F541" s="379">
        <v>1</v>
      </c>
      <c r="G541" s="557"/>
      <c r="H541" s="145"/>
      <c r="I541" s="148"/>
      <c r="J541" s="148"/>
      <c r="K541" s="148"/>
      <c r="L541" s="145"/>
      <c r="M541" s="145"/>
      <c r="N541" s="145"/>
      <c r="O541" s="145"/>
      <c r="P541" s="145"/>
      <c r="Q541" s="145"/>
      <c r="W541" s="1"/>
    </row>
    <row r="542" spans="1:23" s="68" customFormat="1">
      <c r="A542" s="348">
        <f t="shared" si="10"/>
        <v>511</v>
      </c>
      <c r="B542" s="378" t="s">
        <v>149</v>
      </c>
      <c r="C542" s="561" t="s">
        <v>935</v>
      </c>
      <c r="D542" s="434"/>
      <c r="E542" s="434" t="s">
        <v>100</v>
      </c>
      <c r="F542" s="379">
        <v>1</v>
      </c>
      <c r="G542" s="557"/>
      <c r="H542" s="145"/>
      <c r="I542" s="148"/>
      <c r="J542" s="148"/>
      <c r="K542" s="148"/>
      <c r="L542" s="145"/>
      <c r="M542" s="145"/>
      <c r="N542" s="145"/>
      <c r="O542" s="145"/>
      <c r="P542" s="145"/>
      <c r="Q542" s="145"/>
      <c r="W542" s="1"/>
    </row>
    <row r="543" spans="1:23" s="68" customFormat="1">
      <c r="A543" s="348">
        <f t="shared" si="10"/>
        <v>512</v>
      </c>
      <c r="B543" s="378" t="s">
        <v>149</v>
      </c>
      <c r="C543" s="561" t="s">
        <v>936</v>
      </c>
      <c r="D543" s="434"/>
      <c r="E543" s="434" t="s">
        <v>100</v>
      </c>
      <c r="F543" s="379">
        <v>1</v>
      </c>
      <c r="G543" s="557"/>
      <c r="H543" s="145"/>
      <c r="I543" s="148"/>
      <c r="J543" s="148"/>
      <c r="K543" s="148"/>
      <c r="L543" s="145"/>
      <c r="M543" s="145"/>
      <c r="N543" s="145"/>
      <c r="O543" s="145"/>
      <c r="P543" s="145"/>
      <c r="Q543" s="145"/>
      <c r="W543" s="1"/>
    </row>
    <row r="544" spans="1:23" s="68" customFormat="1">
      <c r="A544" s="348">
        <f t="shared" si="10"/>
        <v>513</v>
      </c>
      <c r="B544" s="378" t="s">
        <v>149</v>
      </c>
      <c r="C544" s="561" t="s">
        <v>1037</v>
      </c>
      <c r="D544" s="434"/>
      <c r="E544" s="434" t="s">
        <v>100</v>
      </c>
      <c r="F544" s="379">
        <v>1</v>
      </c>
      <c r="G544" s="557"/>
      <c r="H544" s="145"/>
      <c r="I544" s="148"/>
      <c r="J544" s="148"/>
      <c r="K544" s="148"/>
      <c r="L544" s="145"/>
      <c r="M544" s="145"/>
      <c r="N544" s="145"/>
      <c r="O544" s="145"/>
      <c r="P544" s="145"/>
      <c r="Q544" s="145"/>
      <c r="W544" s="1"/>
    </row>
    <row r="545" spans="1:23" s="68" customFormat="1">
      <c r="A545" s="348">
        <f t="shared" si="10"/>
        <v>514</v>
      </c>
      <c r="B545" s="378" t="s">
        <v>149</v>
      </c>
      <c r="C545" s="575" t="s">
        <v>982</v>
      </c>
      <c r="D545" s="378"/>
      <c r="E545" s="573" t="s">
        <v>100</v>
      </c>
      <c r="F545" s="354">
        <v>1</v>
      </c>
      <c r="G545" s="435"/>
      <c r="H545" s="145"/>
      <c r="I545" s="148"/>
      <c r="J545" s="148"/>
      <c r="K545" s="148"/>
      <c r="L545" s="145"/>
      <c r="M545" s="145"/>
      <c r="N545" s="145"/>
      <c r="O545" s="145"/>
      <c r="P545" s="145"/>
      <c r="Q545" s="145"/>
      <c r="W545" s="1"/>
    </row>
    <row r="546" spans="1:23" s="68" customFormat="1">
      <c r="A546" s="380">
        <f t="shared" si="10"/>
        <v>515</v>
      </c>
      <c r="B546" s="382" t="s">
        <v>149</v>
      </c>
      <c r="C546" s="381" t="s">
        <v>981</v>
      </c>
      <c r="D546" s="492"/>
      <c r="E546" s="492" t="s">
        <v>100</v>
      </c>
      <c r="F546" s="383">
        <v>1</v>
      </c>
      <c r="G546" s="564"/>
      <c r="H546" s="150"/>
      <c r="I546" s="151"/>
      <c r="J546" s="151"/>
      <c r="K546" s="151"/>
      <c r="L546" s="150"/>
      <c r="M546" s="150"/>
      <c r="N546" s="150"/>
      <c r="O546" s="150"/>
      <c r="P546" s="150"/>
      <c r="Q546" s="150"/>
      <c r="W546" s="1"/>
    </row>
    <row r="547" spans="1:23" s="68" customFormat="1">
      <c r="A547" s="370"/>
      <c r="B547" s="500"/>
      <c r="C547" s="371" t="s">
        <v>1162</v>
      </c>
      <c r="D547" s="547"/>
      <c r="E547" s="547"/>
      <c r="F547" s="580"/>
      <c r="G547" s="547"/>
      <c r="H547" s="135"/>
      <c r="I547" s="152"/>
      <c r="J547" s="152"/>
      <c r="K547" s="152"/>
      <c r="L547" s="135"/>
      <c r="M547" s="135"/>
      <c r="N547" s="135"/>
      <c r="O547" s="135"/>
      <c r="P547" s="135"/>
      <c r="Q547" s="135"/>
      <c r="W547" s="1"/>
    </row>
    <row r="548" spans="1:23" s="68" customFormat="1">
      <c r="A548" s="385">
        <f>A546+1</f>
        <v>516</v>
      </c>
      <c r="B548" s="387" t="s">
        <v>149</v>
      </c>
      <c r="C548" s="386" t="s">
        <v>1146</v>
      </c>
      <c r="D548" s="387" t="s">
        <v>1163</v>
      </c>
      <c r="E548" s="571" t="s">
        <v>93</v>
      </c>
      <c r="F548" s="433">
        <v>1</v>
      </c>
      <c r="G548" s="387"/>
      <c r="H548" s="146"/>
      <c r="I548" s="149"/>
      <c r="J548" s="149"/>
      <c r="K548" s="149"/>
      <c r="L548" s="146"/>
      <c r="M548" s="146"/>
      <c r="N548" s="146"/>
      <c r="O548" s="146"/>
      <c r="P548" s="146"/>
      <c r="Q548" s="146"/>
      <c r="W548" s="1"/>
    </row>
    <row r="549" spans="1:23" s="68" customFormat="1">
      <c r="A549" s="348">
        <f t="shared" si="10"/>
        <v>517</v>
      </c>
      <c r="B549" s="378" t="s">
        <v>149</v>
      </c>
      <c r="C549" s="377" t="s">
        <v>1004</v>
      </c>
      <c r="D549" s="573" t="s">
        <v>1017</v>
      </c>
      <c r="E549" s="573" t="s">
        <v>93</v>
      </c>
      <c r="F549" s="354">
        <v>1</v>
      </c>
      <c r="G549" s="378"/>
      <c r="H549" s="145"/>
      <c r="I549" s="148"/>
      <c r="J549" s="148"/>
      <c r="K549" s="148"/>
      <c r="L549" s="145"/>
      <c r="M549" s="145"/>
      <c r="N549" s="145"/>
      <c r="O549" s="145"/>
      <c r="P549" s="145"/>
      <c r="Q549" s="145"/>
      <c r="W549" s="1"/>
    </row>
    <row r="550" spans="1:23" s="68" customFormat="1" ht="24">
      <c r="A550" s="348">
        <f t="shared" si="10"/>
        <v>518</v>
      </c>
      <c r="B550" s="378" t="s">
        <v>149</v>
      </c>
      <c r="C550" s="377" t="s">
        <v>992</v>
      </c>
      <c r="D550" s="378" t="s">
        <v>1164</v>
      </c>
      <c r="E550" s="573" t="s">
        <v>93</v>
      </c>
      <c r="F550" s="379">
        <v>1</v>
      </c>
      <c r="G550" s="464"/>
      <c r="H550" s="145"/>
      <c r="I550" s="148"/>
      <c r="J550" s="148"/>
      <c r="K550" s="148"/>
      <c r="L550" s="145"/>
      <c r="M550" s="145"/>
      <c r="N550" s="145"/>
      <c r="O550" s="145"/>
      <c r="P550" s="145"/>
      <c r="Q550" s="145"/>
      <c r="W550" s="1"/>
    </row>
    <row r="551" spans="1:23" s="68" customFormat="1">
      <c r="A551" s="348">
        <f t="shared" si="10"/>
        <v>519</v>
      </c>
      <c r="B551" s="378" t="s">
        <v>149</v>
      </c>
      <c r="C551" s="377" t="s">
        <v>1013</v>
      </c>
      <c r="D551" s="573" t="s">
        <v>1017</v>
      </c>
      <c r="E551" s="573" t="s">
        <v>77</v>
      </c>
      <c r="F551" s="583">
        <v>2</v>
      </c>
      <c r="G551" s="574"/>
      <c r="H551" s="145"/>
      <c r="I551" s="148"/>
      <c r="J551" s="148"/>
      <c r="K551" s="148"/>
      <c r="L551" s="145"/>
      <c r="M551" s="145"/>
      <c r="N551" s="145"/>
      <c r="O551" s="145"/>
      <c r="P551" s="145"/>
      <c r="Q551" s="145"/>
      <c r="W551" s="1"/>
    </row>
    <row r="552" spans="1:23" s="68" customFormat="1" ht="24">
      <c r="A552" s="348">
        <f t="shared" si="10"/>
        <v>520</v>
      </c>
      <c r="B552" s="378" t="s">
        <v>149</v>
      </c>
      <c r="C552" s="377" t="s">
        <v>1031</v>
      </c>
      <c r="D552" s="378" t="s">
        <v>1032</v>
      </c>
      <c r="E552" s="378" t="s">
        <v>1781</v>
      </c>
      <c r="F552" s="354">
        <v>2</v>
      </c>
      <c r="G552" s="378"/>
      <c r="H552" s="145"/>
      <c r="I552" s="148"/>
      <c r="J552" s="148"/>
      <c r="K552" s="148"/>
      <c r="L552" s="145"/>
      <c r="M552" s="145"/>
      <c r="N552" s="145"/>
      <c r="O552" s="145"/>
      <c r="P552" s="145"/>
      <c r="Q552" s="145"/>
      <c r="W552" s="1"/>
    </row>
    <row r="553" spans="1:23" s="68" customFormat="1">
      <c r="A553" s="348">
        <f t="shared" si="10"/>
        <v>521</v>
      </c>
      <c r="B553" s="378" t="s">
        <v>149</v>
      </c>
      <c r="C553" s="561" t="s">
        <v>1035</v>
      </c>
      <c r="D553" s="434"/>
      <c r="E553" s="434" t="s">
        <v>100</v>
      </c>
      <c r="F553" s="379">
        <v>1</v>
      </c>
      <c r="G553" s="557"/>
      <c r="H553" s="145"/>
      <c r="I553" s="148"/>
      <c r="J553" s="148"/>
      <c r="K553" s="148"/>
      <c r="L553" s="145"/>
      <c r="M553" s="145"/>
      <c r="N553" s="145"/>
      <c r="O553" s="145"/>
      <c r="P553" s="145"/>
      <c r="Q553" s="145"/>
      <c r="W553" s="1"/>
    </row>
    <row r="554" spans="1:23" s="68" customFormat="1">
      <c r="A554" s="348">
        <f t="shared" si="10"/>
        <v>522</v>
      </c>
      <c r="B554" s="378" t="s">
        <v>149</v>
      </c>
      <c r="C554" s="561" t="s">
        <v>1036</v>
      </c>
      <c r="D554" s="434"/>
      <c r="E554" s="434" t="s">
        <v>100</v>
      </c>
      <c r="F554" s="379">
        <v>1</v>
      </c>
      <c r="G554" s="557"/>
      <c r="H554" s="145"/>
      <c r="I554" s="148"/>
      <c r="J554" s="148"/>
      <c r="K554" s="148"/>
      <c r="L554" s="145"/>
      <c r="M554" s="145"/>
      <c r="N554" s="145"/>
      <c r="O554" s="145"/>
      <c r="P554" s="145"/>
      <c r="Q554" s="145"/>
      <c r="W554" s="1"/>
    </row>
    <row r="555" spans="1:23" s="68" customFormat="1">
      <c r="A555" s="348">
        <f t="shared" si="10"/>
        <v>523</v>
      </c>
      <c r="B555" s="378" t="s">
        <v>149</v>
      </c>
      <c r="C555" s="561" t="s">
        <v>935</v>
      </c>
      <c r="D555" s="434"/>
      <c r="E555" s="434" t="s">
        <v>100</v>
      </c>
      <c r="F555" s="379">
        <v>1</v>
      </c>
      <c r="G555" s="557"/>
      <c r="H555" s="145"/>
      <c r="I555" s="148"/>
      <c r="J555" s="148"/>
      <c r="K555" s="148"/>
      <c r="L555" s="145"/>
      <c r="M555" s="145"/>
      <c r="N555" s="145"/>
      <c r="O555" s="145"/>
      <c r="P555" s="145"/>
      <c r="Q555" s="145"/>
      <c r="W555" s="1"/>
    </row>
    <row r="556" spans="1:23" s="68" customFormat="1">
      <c r="A556" s="348">
        <f t="shared" si="10"/>
        <v>524</v>
      </c>
      <c r="B556" s="378" t="s">
        <v>149</v>
      </c>
      <c r="C556" s="561" t="s">
        <v>936</v>
      </c>
      <c r="D556" s="434"/>
      <c r="E556" s="434" t="s">
        <v>100</v>
      </c>
      <c r="F556" s="379">
        <v>1</v>
      </c>
      <c r="G556" s="557"/>
      <c r="H556" s="145"/>
      <c r="I556" s="148"/>
      <c r="J556" s="148"/>
      <c r="K556" s="148"/>
      <c r="L556" s="145"/>
      <c r="M556" s="145"/>
      <c r="N556" s="145"/>
      <c r="O556" s="145"/>
      <c r="P556" s="145"/>
      <c r="Q556" s="145"/>
      <c r="W556" s="1"/>
    </row>
    <row r="557" spans="1:23" s="68" customFormat="1">
      <c r="A557" s="348">
        <f t="shared" si="10"/>
        <v>525</v>
      </c>
      <c r="B557" s="378" t="s">
        <v>149</v>
      </c>
      <c r="C557" s="561" t="s">
        <v>1037</v>
      </c>
      <c r="D557" s="434"/>
      <c r="E557" s="434" t="s">
        <v>100</v>
      </c>
      <c r="F557" s="379">
        <v>1</v>
      </c>
      <c r="G557" s="557"/>
      <c r="H557" s="145"/>
      <c r="I557" s="148"/>
      <c r="J557" s="148"/>
      <c r="K557" s="148"/>
      <c r="L557" s="145"/>
      <c r="M557" s="145"/>
      <c r="N557" s="145"/>
      <c r="O557" s="145"/>
      <c r="P557" s="145"/>
      <c r="Q557" s="145"/>
      <c r="W557" s="1"/>
    </row>
    <row r="558" spans="1:23" s="68" customFormat="1">
      <c r="A558" s="348">
        <f t="shared" si="10"/>
        <v>526</v>
      </c>
      <c r="B558" s="378" t="s">
        <v>149</v>
      </c>
      <c r="C558" s="575" t="s">
        <v>982</v>
      </c>
      <c r="D558" s="378"/>
      <c r="E558" s="573" t="s">
        <v>100</v>
      </c>
      <c r="F558" s="354">
        <v>1</v>
      </c>
      <c r="G558" s="435"/>
      <c r="H558" s="145"/>
      <c r="I558" s="148"/>
      <c r="J558" s="148"/>
      <c r="K558" s="148"/>
      <c r="L558" s="145"/>
      <c r="M558" s="145"/>
      <c r="N558" s="145"/>
      <c r="O558" s="145"/>
      <c r="P558" s="145"/>
      <c r="Q558" s="145"/>
      <c r="W558" s="1"/>
    </row>
    <row r="559" spans="1:23" s="68" customFormat="1">
      <c r="A559" s="380">
        <f t="shared" si="10"/>
        <v>527</v>
      </c>
      <c r="B559" s="382" t="s">
        <v>149</v>
      </c>
      <c r="C559" s="381" t="s">
        <v>981</v>
      </c>
      <c r="D559" s="492"/>
      <c r="E559" s="492" t="s">
        <v>100</v>
      </c>
      <c r="F559" s="383">
        <v>1</v>
      </c>
      <c r="G559" s="564"/>
      <c r="H559" s="150"/>
      <c r="I559" s="151"/>
      <c r="J559" s="151"/>
      <c r="K559" s="151"/>
      <c r="L559" s="150"/>
      <c r="M559" s="150"/>
      <c r="N559" s="150"/>
      <c r="O559" s="150"/>
      <c r="P559" s="150"/>
      <c r="Q559" s="150"/>
      <c r="W559" s="1"/>
    </row>
    <row r="560" spans="1:23" s="68" customFormat="1" ht="24">
      <c r="A560" s="370"/>
      <c r="B560" s="500"/>
      <c r="C560" s="547" t="s">
        <v>1165</v>
      </c>
      <c r="D560" s="547"/>
      <c r="E560" s="547"/>
      <c r="F560" s="580"/>
      <c r="G560" s="547"/>
      <c r="H560" s="135"/>
      <c r="I560" s="152"/>
      <c r="J560" s="152"/>
      <c r="K560" s="152"/>
      <c r="L560" s="135"/>
      <c r="M560" s="135"/>
      <c r="N560" s="135"/>
      <c r="O560" s="135"/>
      <c r="P560" s="135"/>
      <c r="Q560" s="135"/>
      <c r="W560" s="1"/>
    </row>
    <row r="561" spans="1:23" s="68" customFormat="1">
      <c r="A561" s="370"/>
      <c r="B561" s="500"/>
      <c r="C561" s="371" t="s">
        <v>1166</v>
      </c>
      <c r="D561" s="547"/>
      <c r="E561" s="547"/>
      <c r="F561" s="580"/>
      <c r="G561" s="547"/>
      <c r="H561" s="135"/>
      <c r="I561" s="152"/>
      <c r="J561" s="152"/>
      <c r="K561" s="152"/>
      <c r="L561" s="135"/>
      <c r="M561" s="135"/>
      <c r="N561" s="135"/>
      <c r="O561" s="135"/>
      <c r="P561" s="135"/>
      <c r="Q561" s="135"/>
      <c r="W561" s="1"/>
    </row>
    <row r="562" spans="1:23" s="68" customFormat="1" ht="24">
      <c r="A562" s="385">
        <f>A559+1</f>
        <v>528</v>
      </c>
      <c r="B562" s="387" t="s">
        <v>149</v>
      </c>
      <c r="C562" s="386" t="s">
        <v>1167</v>
      </c>
      <c r="D562" s="387" t="s">
        <v>1168</v>
      </c>
      <c r="E562" s="434" t="s">
        <v>100</v>
      </c>
      <c r="F562" s="433">
        <v>1</v>
      </c>
      <c r="G562" s="572"/>
      <c r="H562" s="146"/>
      <c r="I562" s="149"/>
      <c r="J562" s="149"/>
      <c r="K562" s="149"/>
      <c r="L562" s="146"/>
      <c r="M562" s="146"/>
      <c r="N562" s="146"/>
      <c r="O562" s="146"/>
      <c r="P562" s="146"/>
      <c r="Q562" s="146"/>
      <c r="W562" s="1"/>
    </row>
    <row r="563" spans="1:23" s="68" customFormat="1">
      <c r="A563" s="348">
        <f>A562+1</f>
        <v>529</v>
      </c>
      <c r="B563" s="378" t="s">
        <v>149</v>
      </c>
      <c r="C563" s="377" t="s">
        <v>1169</v>
      </c>
      <c r="D563" s="576"/>
      <c r="E563" s="434" t="s">
        <v>100</v>
      </c>
      <c r="F563" s="354">
        <v>1</v>
      </c>
      <c r="G563" s="378"/>
      <c r="H563" s="145"/>
      <c r="I563" s="148"/>
      <c r="J563" s="148"/>
      <c r="K563" s="148"/>
      <c r="L563" s="145"/>
      <c r="M563" s="145"/>
      <c r="N563" s="145"/>
      <c r="O563" s="145"/>
      <c r="P563" s="145"/>
      <c r="Q563" s="145"/>
      <c r="W563" s="1"/>
    </row>
    <row r="564" spans="1:23" s="68" customFormat="1" ht="36">
      <c r="A564" s="348">
        <f>A563+1</f>
        <v>530</v>
      </c>
      <c r="B564" s="378" t="s">
        <v>149</v>
      </c>
      <c r="C564" s="377" t="s">
        <v>1170</v>
      </c>
      <c r="D564" s="378" t="s">
        <v>1171</v>
      </c>
      <c r="E564" s="434" t="s">
        <v>100</v>
      </c>
      <c r="F564" s="354">
        <v>3</v>
      </c>
      <c r="G564" s="435"/>
      <c r="H564" s="145"/>
      <c r="I564" s="148"/>
      <c r="J564" s="148"/>
      <c r="K564" s="148"/>
      <c r="L564" s="145"/>
      <c r="M564" s="145"/>
      <c r="N564" s="145"/>
      <c r="O564" s="145"/>
      <c r="P564" s="145"/>
      <c r="Q564" s="145"/>
      <c r="W564" s="1"/>
    </row>
    <row r="565" spans="1:23" s="68" customFormat="1">
      <c r="A565" s="348">
        <f>A564+1</f>
        <v>531</v>
      </c>
      <c r="B565" s="378" t="s">
        <v>149</v>
      </c>
      <c r="C565" s="561" t="s">
        <v>1172</v>
      </c>
      <c r="D565" s="555"/>
      <c r="E565" s="555" t="s">
        <v>77</v>
      </c>
      <c r="F565" s="379">
        <v>55</v>
      </c>
      <c r="G565" s="557"/>
      <c r="H565" s="145"/>
      <c r="I565" s="148"/>
      <c r="J565" s="148"/>
      <c r="K565" s="148"/>
      <c r="L565" s="145"/>
      <c r="M565" s="145"/>
      <c r="N565" s="145"/>
      <c r="O565" s="145"/>
      <c r="P565" s="145"/>
      <c r="Q565" s="145"/>
      <c r="W565" s="1"/>
    </row>
    <row r="566" spans="1:23" s="68" customFormat="1">
      <c r="A566" s="348">
        <f t="shared" si="10"/>
        <v>532</v>
      </c>
      <c r="B566" s="378" t="s">
        <v>149</v>
      </c>
      <c r="C566" s="561" t="s">
        <v>1173</v>
      </c>
      <c r="D566" s="555"/>
      <c r="E566" s="555" t="s">
        <v>77</v>
      </c>
      <c r="F566" s="379">
        <v>55</v>
      </c>
      <c r="G566" s="557"/>
      <c r="H566" s="145"/>
      <c r="I566" s="148"/>
      <c r="J566" s="148"/>
      <c r="K566" s="148"/>
      <c r="L566" s="145"/>
      <c r="M566" s="145"/>
      <c r="N566" s="145"/>
      <c r="O566" s="145"/>
      <c r="P566" s="145"/>
      <c r="Q566" s="145"/>
      <c r="W566" s="1"/>
    </row>
    <row r="567" spans="1:23" s="68" customFormat="1">
      <c r="A567" s="348">
        <f t="shared" si="10"/>
        <v>533</v>
      </c>
      <c r="B567" s="378" t="s">
        <v>149</v>
      </c>
      <c r="C567" s="377" t="s">
        <v>1174</v>
      </c>
      <c r="D567" s="378"/>
      <c r="E567" s="378" t="s">
        <v>85</v>
      </c>
      <c r="F567" s="354">
        <v>4</v>
      </c>
      <c r="G567" s="378"/>
      <c r="H567" s="145"/>
      <c r="I567" s="148"/>
      <c r="J567" s="148"/>
      <c r="K567" s="148"/>
      <c r="L567" s="145"/>
      <c r="M567" s="145"/>
      <c r="N567" s="145"/>
      <c r="O567" s="145"/>
      <c r="P567" s="145"/>
      <c r="Q567" s="145"/>
      <c r="W567" s="1"/>
    </row>
    <row r="568" spans="1:23" s="68" customFormat="1">
      <c r="A568" s="348">
        <f t="shared" si="10"/>
        <v>534</v>
      </c>
      <c r="B568" s="378" t="s">
        <v>149</v>
      </c>
      <c r="C568" s="561" t="s">
        <v>1175</v>
      </c>
      <c r="D568" s="555"/>
      <c r="E568" s="434" t="s">
        <v>100</v>
      </c>
      <c r="F568" s="354">
        <v>1</v>
      </c>
      <c r="G568" s="556"/>
      <c r="H568" s="145"/>
      <c r="I568" s="148"/>
      <c r="J568" s="148"/>
      <c r="K568" s="148"/>
      <c r="L568" s="145"/>
      <c r="M568" s="145"/>
      <c r="N568" s="145"/>
      <c r="O568" s="145"/>
      <c r="P568" s="145"/>
      <c r="Q568" s="145"/>
      <c r="W568" s="1"/>
    </row>
    <row r="569" spans="1:23" s="68" customFormat="1">
      <c r="A569" s="348">
        <f t="shared" si="10"/>
        <v>535</v>
      </c>
      <c r="B569" s="378" t="s">
        <v>149</v>
      </c>
      <c r="C569" s="561" t="s">
        <v>1176</v>
      </c>
      <c r="D569" s="434"/>
      <c r="E569" s="434" t="s">
        <v>100</v>
      </c>
      <c r="F569" s="379">
        <v>1</v>
      </c>
      <c r="G569" s="557"/>
      <c r="H569" s="145"/>
      <c r="I569" s="148"/>
      <c r="J569" s="148"/>
      <c r="K569" s="148"/>
      <c r="L569" s="145"/>
      <c r="M569" s="145"/>
      <c r="N569" s="145"/>
      <c r="O569" s="145"/>
      <c r="P569" s="145"/>
      <c r="Q569" s="145"/>
      <c r="W569" s="1"/>
    </row>
    <row r="570" spans="1:23" s="68" customFormat="1">
      <c r="A570" s="348">
        <f t="shared" si="10"/>
        <v>536</v>
      </c>
      <c r="B570" s="378" t="s">
        <v>149</v>
      </c>
      <c r="C570" s="561" t="s">
        <v>935</v>
      </c>
      <c r="D570" s="434"/>
      <c r="E570" s="434" t="s">
        <v>100</v>
      </c>
      <c r="F570" s="379">
        <v>1</v>
      </c>
      <c r="G570" s="557"/>
      <c r="H570" s="145"/>
      <c r="I570" s="148"/>
      <c r="J570" s="148"/>
      <c r="K570" s="148"/>
      <c r="L570" s="145"/>
      <c r="M570" s="145"/>
      <c r="N570" s="145"/>
      <c r="O570" s="145"/>
      <c r="P570" s="145"/>
      <c r="Q570" s="145"/>
      <c r="W570" s="1"/>
    </row>
    <row r="571" spans="1:23" s="68" customFormat="1">
      <c r="A571" s="348">
        <f t="shared" si="10"/>
        <v>537</v>
      </c>
      <c r="B571" s="378" t="s">
        <v>149</v>
      </c>
      <c r="C571" s="561" t="s">
        <v>936</v>
      </c>
      <c r="D571" s="434"/>
      <c r="E571" s="434" t="s">
        <v>100</v>
      </c>
      <c r="F571" s="379">
        <v>1</v>
      </c>
      <c r="G571" s="557"/>
      <c r="H571" s="145"/>
      <c r="I571" s="148"/>
      <c r="J571" s="148"/>
      <c r="K571" s="148"/>
      <c r="L571" s="145"/>
      <c r="M571" s="145"/>
      <c r="N571" s="145"/>
      <c r="O571" s="145"/>
      <c r="P571" s="145"/>
      <c r="Q571" s="145"/>
      <c r="W571" s="1"/>
    </row>
    <row r="572" spans="1:23" s="68" customFormat="1">
      <c r="A572" s="348">
        <f t="shared" si="10"/>
        <v>538</v>
      </c>
      <c r="B572" s="378" t="s">
        <v>149</v>
      </c>
      <c r="C572" s="561" t="s">
        <v>1177</v>
      </c>
      <c r="D572" s="434"/>
      <c r="E572" s="434" t="s">
        <v>100</v>
      </c>
      <c r="F572" s="379">
        <v>1</v>
      </c>
      <c r="G572" s="557"/>
      <c r="H572" s="145"/>
      <c r="I572" s="148"/>
      <c r="J572" s="148"/>
      <c r="K572" s="148"/>
      <c r="L572" s="145"/>
      <c r="M572" s="145"/>
      <c r="N572" s="145"/>
      <c r="O572" s="145"/>
      <c r="P572" s="145"/>
      <c r="Q572" s="145"/>
      <c r="W572" s="1"/>
    </row>
    <row r="573" spans="1:23" s="68" customFormat="1">
      <c r="A573" s="348">
        <f t="shared" si="10"/>
        <v>539</v>
      </c>
      <c r="B573" s="378" t="s">
        <v>149</v>
      </c>
      <c r="C573" s="554" t="s">
        <v>939</v>
      </c>
      <c r="D573" s="555"/>
      <c r="E573" s="555" t="s">
        <v>100</v>
      </c>
      <c r="F573" s="354">
        <v>1</v>
      </c>
      <c r="G573" s="435"/>
      <c r="H573" s="145"/>
      <c r="I573" s="148"/>
      <c r="J573" s="148"/>
      <c r="K573" s="148"/>
      <c r="L573" s="145"/>
      <c r="M573" s="145"/>
      <c r="N573" s="145"/>
      <c r="O573" s="145"/>
      <c r="P573" s="145"/>
      <c r="Q573" s="145"/>
      <c r="W573" s="1"/>
    </row>
    <row r="574" spans="1:23" s="68" customFormat="1">
      <c r="A574" s="380">
        <f t="shared" si="10"/>
        <v>540</v>
      </c>
      <c r="B574" s="382" t="s">
        <v>149</v>
      </c>
      <c r="C574" s="577" t="s">
        <v>111</v>
      </c>
      <c r="D574" s="578"/>
      <c r="E574" s="578" t="s">
        <v>100</v>
      </c>
      <c r="F574" s="441">
        <v>1</v>
      </c>
      <c r="G574" s="485"/>
      <c r="H574" s="150"/>
      <c r="I574" s="151"/>
      <c r="J574" s="151"/>
      <c r="K574" s="151"/>
      <c r="L574" s="150"/>
      <c r="M574" s="150"/>
      <c r="N574" s="150"/>
      <c r="O574" s="150"/>
      <c r="P574" s="150"/>
      <c r="Q574" s="150"/>
      <c r="W574" s="1"/>
    </row>
    <row r="575" spans="1:23" s="68" customFormat="1">
      <c r="A575" s="370"/>
      <c r="B575" s="500"/>
      <c r="C575" s="371" t="s">
        <v>1178</v>
      </c>
      <c r="D575" s="547"/>
      <c r="E575" s="547"/>
      <c r="F575" s="580"/>
      <c r="G575" s="547"/>
      <c r="H575" s="135"/>
      <c r="I575" s="152"/>
      <c r="J575" s="152"/>
      <c r="K575" s="152"/>
      <c r="L575" s="135"/>
      <c r="M575" s="135"/>
      <c r="N575" s="135"/>
      <c r="O575" s="135"/>
      <c r="P575" s="135"/>
      <c r="Q575" s="135"/>
      <c r="W575" s="1"/>
    </row>
    <row r="576" spans="1:23" s="68" customFormat="1" ht="24">
      <c r="A576" s="385">
        <f>A574+1</f>
        <v>541</v>
      </c>
      <c r="B576" s="387" t="s">
        <v>149</v>
      </c>
      <c r="C576" s="386" t="s">
        <v>1179</v>
      </c>
      <c r="D576" s="387" t="s">
        <v>1168</v>
      </c>
      <c r="E576" s="434" t="s">
        <v>100</v>
      </c>
      <c r="F576" s="433">
        <v>1</v>
      </c>
      <c r="G576" s="572"/>
      <c r="H576" s="146"/>
      <c r="I576" s="149"/>
      <c r="J576" s="149"/>
      <c r="K576" s="149"/>
      <c r="L576" s="146"/>
      <c r="M576" s="146"/>
      <c r="N576" s="146"/>
      <c r="O576" s="146"/>
      <c r="P576" s="146"/>
      <c r="Q576" s="146"/>
      <c r="W576" s="1"/>
    </row>
    <row r="577" spans="1:23" s="68" customFormat="1">
      <c r="A577" s="348">
        <f>A576+1</f>
        <v>542</v>
      </c>
      <c r="B577" s="378" t="s">
        <v>149</v>
      </c>
      <c r="C577" s="377" t="s">
        <v>1169</v>
      </c>
      <c r="D577" s="576"/>
      <c r="E577" s="434" t="s">
        <v>100</v>
      </c>
      <c r="F577" s="354">
        <v>1</v>
      </c>
      <c r="G577" s="378"/>
      <c r="H577" s="145"/>
      <c r="I577" s="148"/>
      <c r="J577" s="148"/>
      <c r="K577" s="148"/>
      <c r="L577" s="145"/>
      <c r="M577" s="145"/>
      <c r="N577" s="145"/>
      <c r="O577" s="145"/>
      <c r="P577" s="145"/>
      <c r="Q577" s="145"/>
      <c r="W577" s="1"/>
    </row>
    <row r="578" spans="1:23" s="68" customFormat="1" ht="36">
      <c r="A578" s="348">
        <f t="shared" ref="A578:A588" si="11">A577+1</f>
        <v>543</v>
      </c>
      <c r="B578" s="378" t="s">
        <v>149</v>
      </c>
      <c r="C578" s="377" t="s">
        <v>1170</v>
      </c>
      <c r="D578" s="378" t="s">
        <v>1171</v>
      </c>
      <c r="E578" s="434" t="s">
        <v>100</v>
      </c>
      <c r="F578" s="354">
        <v>3</v>
      </c>
      <c r="G578" s="435"/>
      <c r="H578" s="145"/>
      <c r="I578" s="148"/>
      <c r="J578" s="148"/>
      <c r="K578" s="148"/>
      <c r="L578" s="145"/>
      <c r="M578" s="145"/>
      <c r="N578" s="145"/>
      <c r="O578" s="145"/>
      <c r="P578" s="145"/>
      <c r="Q578" s="145"/>
      <c r="W578" s="1"/>
    </row>
    <row r="579" spans="1:23" s="68" customFormat="1">
      <c r="A579" s="348">
        <f t="shared" si="11"/>
        <v>544</v>
      </c>
      <c r="B579" s="378" t="s">
        <v>149</v>
      </c>
      <c r="C579" s="561" t="s">
        <v>1172</v>
      </c>
      <c r="D579" s="555"/>
      <c r="E579" s="555" t="s">
        <v>77</v>
      </c>
      <c r="F579" s="379">
        <v>70</v>
      </c>
      <c r="G579" s="557"/>
      <c r="H579" s="145"/>
      <c r="I579" s="148"/>
      <c r="J579" s="148"/>
      <c r="K579" s="148"/>
      <c r="L579" s="145"/>
      <c r="M579" s="145"/>
      <c r="N579" s="145"/>
      <c r="O579" s="145"/>
      <c r="P579" s="145"/>
      <c r="Q579" s="145"/>
      <c r="W579" s="1"/>
    </row>
    <row r="580" spans="1:23" s="68" customFormat="1">
      <c r="A580" s="348">
        <f t="shared" si="11"/>
        <v>545</v>
      </c>
      <c r="B580" s="378" t="s">
        <v>149</v>
      </c>
      <c r="C580" s="561" t="s">
        <v>1173</v>
      </c>
      <c r="D580" s="555"/>
      <c r="E580" s="555" t="s">
        <v>77</v>
      </c>
      <c r="F580" s="379">
        <v>70</v>
      </c>
      <c r="G580" s="557"/>
      <c r="H580" s="145"/>
      <c r="I580" s="148"/>
      <c r="J580" s="148"/>
      <c r="K580" s="148"/>
      <c r="L580" s="145"/>
      <c r="M580" s="145"/>
      <c r="N580" s="145"/>
      <c r="O580" s="145"/>
      <c r="P580" s="145"/>
      <c r="Q580" s="145"/>
      <c r="W580" s="1"/>
    </row>
    <row r="581" spans="1:23" s="68" customFormat="1">
      <c r="A581" s="348">
        <f t="shared" si="11"/>
        <v>546</v>
      </c>
      <c r="B581" s="378" t="s">
        <v>149</v>
      </c>
      <c r="C581" s="377" t="s">
        <v>1174</v>
      </c>
      <c r="D581" s="378"/>
      <c r="E581" s="378" t="s">
        <v>85</v>
      </c>
      <c r="F581" s="354">
        <v>4</v>
      </c>
      <c r="G581" s="378"/>
      <c r="H581" s="145"/>
      <c r="I581" s="148"/>
      <c r="J581" s="148"/>
      <c r="K581" s="148"/>
      <c r="L581" s="145"/>
      <c r="M581" s="145"/>
      <c r="N581" s="145"/>
      <c r="O581" s="145"/>
      <c r="P581" s="145"/>
      <c r="Q581" s="145"/>
      <c r="W581" s="1"/>
    </row>
    <row r="582" spans="1:23" s="68" customFormat="1">
      <c r="A582" s="348">
        <f t="shared" si="11"/>
        <v>547</v>
      </c>
      <c r="B582" s="378" t="s">
        <v>149</v>
      </c>
      <c r="C582" s="561" t="s">
        <v>1175</v>
      </c>
      <c r="D582" s="555"/>
      <c r="E582" s="555" t="s">
        <v>91</v>
      </c>
      <c r="F582" s="354">
        <v>1</v>
      </c>
      <c r="G582" s="556"/>
      <c r="H582" s="145"/>
      <c r="I582" s="148"/>
      <c r="J582" s="148"/>
      <c r="K582" s="148"/>
      <c r="L582" s="145"/>
      <c r="M582" s="145"/>
      <c r="N582" s="145"/>
      <c r="O582" s="145"/>
      <c r="P582" s="145"/>
      <c r="Q582" s="145"/>
      <c r="W582" s="1"/>
    </row>
    <row r="583" spans="1:23" s="68" customFormat="1">
      <c r="A583" s="348">
        <f t="shared" si="11"/>
        <v>548</v>
      </c>
      <c r="B583" s="378" t="s">
        <v>149</v>
      </c>
      <c r="C583" s="561" t="s">
        <v>1176</v>
      </c>
      <c r="D583" s="434"/>
      <c r="E583" s="434" t="s">
        <v>100</v>
      </c>
      <c r="F583" s="379">
        <v>1</v>
      </c>
      <c r="G583" s="557"/>
      <c r="H583" s="145"/>
      <c r="I583" s="148"/>
      <c r="J583" s="148"/>
      <c r="K583" s="148"/>
      <c r="L583" s="145"/>
      <c r="M583" s="145"/>
      <c r="N583" s="145"/>
      <c r="O583" s="145"/>
      <c r="P583" s="145"/>
      <c r="Q583" s="145"/>
      <c r="W583" s="1"/>
    </row>
    <row r="584" spans="1:23" s="68" customFormat="1">
      <c r="A584" s="348">
        <f t="shared" si="11"/>
        <v>549</v>
      </c>
      <c r="B584" s="378" t="s">
        <v>149</v>
      </c>
      <c r="C584" s="561" t="s">
        <v>935</v>
      </c>
      <c r="D584" s="434"/>
      <c r="E584" s="434" t="s">
        <v>100</v>
      </c>
      <c r="F584" s="379">
        <v>1</v>
      </c>
      <c r="G584" s="557"/>
      <c r="H584" s="145"/>
      <c r="I584" s="148"/>
      <c r="J584" s="148"/>
      <c r="K584" s="148"/>
      <c r="L584" s="145"/>
      <c r="M584" s="145"/>
      <c r="N584" s="145"/>
      <c r="O584" s="145"/>
      <c r="P584" s="145"/>
      <c r="Q584" s="145"/>
      <c r="W584" s="1"/>
    </row>
    <row r="585" spans="1:23" s="68" customFormat="1">
      <c r="A585" s="348">
        <f t="shared" si="11"/>
        <v>550</v>
      </c>
      <c r="B585" s="378" t="s">
        <v>149</v>
      </c>
      <c r="C585" s="561" t="s">
        <v>936</v>
      </c>
      <c r="D585" s="434"/>
      <c r="E585" s="434" t="s">
        <v>100</v>
      </c>
      <c r="F585" s="379">
        <v>1</v>
      </c>
      <c r="G585" s="557"/>
      <c r="H585" s="145"/>
      <c r="I585" s="148"/>
      <c r="J585" s="148"/>
      <c r="K585" s="148"/>
      <c r="L585" s="145"/>
      <c r="M585" s="145"/>
      <c r="N585" s="145"/>
      <c r="O585" s="145"/>
      <c r="P585" s="145"/>
      <c r="Q585" s="145"/>
      <c r="W585" s="1"/>
    </row>
    <row r="586" spans="1:23" s="68" customFormat="1">
      <c r="A586" s="348">
        <f t="shared" si="11"/>
        <v>551</v>
      </c>
      <c r="B586" s="378" t="s">
        <v>149</v>
      </c>
      <c r="C586" s="561" t="s">
        <v>1177</v>
      </c>
      <c r="D586" s="434"/>
      <c r="E586" s="434" t="s">
        <v>100</v>
      </c>
      <c r="F586" s="379">
        <v>1</v>
      </c>
      <c r="G586" s="557"/>
      <c r="H586" s="145"/>
      <c r="I586" s="148"/>
      <c r="J586" s="148"/>
      <c r="K586" s="148"/>
      <c r="L586" s="145"/>
      <c r="M586" s="145"/>
      <c r="N586" s="145"/>
      <c r="O586" s="145"/>
      <c r="P586" s="145"/>
      <c r="Q586" s="145"/>
      <c r="W586" s="1"/>
    </row>
    <row r="587" spans="1:23" s="68" customFormat="1">
      <c r="A587" s="348">
        <f t="shared" si="11"/>
        <v>552</v>
      </c>
      <c r="B587" s="378" t="s">
        <v>149</v>
      </c>
      <c r="C587" s="554" t="s">
        <v>939</v>
      </c>
      <c r="D587" s="555"/>
      <c r="E587" s="555" t="s">
        <v>100</v>
      </c>
      <c r="F587" s="354">
        <v>1</v>
      </c>
      <c r="G587" s="435"/>
      <c r="H587" s="145"/>
      <c r="I587" s="148"/>
      <c r="J587" s="148"/>
      <c r="K587" s="148"/>
      <c r="L587" s="145"/>
      <c r="M587" s="145"/>
      <c r="N587" s="145"/>
      <c r="O587" s="145"/>
      <c r="P587" s="145"/>
      <c r="Q587" s="145"/>
      <c r="W587" s="1"/>
    </row>
    <row r="588" spans="1:23" s="68" customFormat="1">
      <c r="A588" s="380">
        <f t="shared" si="11"/>
        <v>553</v>
      </c>
      <c r="B588" s="382" t="s">
        <v>149</v>
      </c>
      <c r="C588" s="577" t="s">
        <v>111</v>
      </c>
      <c r="D588" s="578"/>
      <c r="E588" s="578" t="s">
        <v>100</v>
      </c>
      <c r="F588" s="441">
        <v>1</v>
      </c>
      <c r="G588" s="485"/>
      <c r="H588" s="150"/>
      <c r="I588" s="151"/>
      <c r="J588" s="151"/>
      <c r="K588" s="151"/>
      <c r="L588" s="150"/>
      <c r="M588" s="150"/>
      <c r="N588" s="150"/>
      <c r="O588" s="150"/>
      <c r="P588" s="150"/>
      <c r="Q588" s="150"/>
      <c r="W588" s="1"/>
    </row>
    <row r="589" spans="1:23" s="68" customFormat="1">
      <c r="A589" s="370"/>
      <c r="B589" s="500"/>
      <c r="C589" s="371" t="s">
        <v>1180</v>
      </c>
      <c r="D589" s="547"/>
      <c r="E589" s="547"/>
      <c r="F589" s="580"/>
      <c r="G589" s="547"/>
      <c r="H589" s="135"/>
      <c r="I589" s="152"/>
      <c r="J589" s="152"/>
      <c r="K589" s="152"/>
      <c r="L589" s="135"/>
      <c r="M589" s="135"/>
      <c r="N589" s="135"/>
      <c r="O589" s="135"/>
      <c r="P589" s="135"/>
      <c r="Q589" s="135"/>
      <c r="W589" s="1"/>
    </row>
    <row r="590" spans="1:23" s="68" customFormat="1" ht="24">
      <c r="A590" s="385">
        <f>A588+1</f>
        <v>554</v>
      </c>
      <c r="B590" s="387" t="s">
        <v>149</v>
      </c>
      <c r="C590" s="386" t="s">
        <v>1181</v>
      </c>
      <c r="D590" s="387" t="s">
        <v>1182</v>
      </c>
      <c r="E590" s="387" t="s">
        <v>100</v>
      </c>
      <c r="F590" s="433">
        <v>1</v>
      </c>
      <c r="G590" s="387"/>
      <c r="H590" s="146"/>
      <c r="I590" s="149"/>
      <c r="J590" s="149"/>
      <c r="K590" s="149"/>
      <c r="L590" s="146"/>
      <c r="M590" s="146"/>
      <c r="N590" s="146"/>
      <c r="O590" s="146"/>
      <c r="P590" s="146"/>
      <c r="Q590" s="146"/>
      <c r="W590" s="1"/>
    </row>
    <row r="591" spans="1:23" s="68" customFormat="1">
      <c r="A591" s="348">
        <f>A590+1</f>
        <v>555</v>
      </c>
      <c r="B591" s="378" t="s">
        <v>149</v>
      </c>
      <c r="C591" s="377" t="s">
        <v>1169</v>
      </c>
      <c r="D591" s="377"/>
      <c r="E591" s="378" t="s">
        <v>100</v>
      </c>
      <c r="F591" s="354">
        <v>1</v>
      </c>
      <c r="G591" s="378"/>
      <c r="H591" s="145"/>
      <c r="I591" s="148"/>
      <c r="J591" s="148"/>
      <c r="K591" s="148"/>
      <c r="L591" s="145"/>
      <c r="M591" s="145"/>
      <c r="N591" s="145"/>
      <c r="O591" s="145"/>
      <c r="P591" s="145"/>
      <c r="Q591" s="145"/>
      <c r="W591" s="1"/>
    </row>
    <row r="592" spans="1:23" s="68" customFormat="1">
      <c r="A592" s="348">
        <f t="shared" ref="A592:A603" si="12">A591+1</f>
        <v>556</v>
      </c>
      <c r="B592" s="378" t="s">
        <v>149</v>
      </c>
      <c r="C592" s="561" t="s">
        <v>1173</v>
      </c>
      <c r="D592" s="377"/>
      <c r="E592" s="378" t="s">
        <v>77</v>
      </c>
      <c r="F592" s="354">
        <v>30</v>
      </c>
      <c r="G592" s="378"/>
      <c r="H592" s="145"/>
      <c r="I592" s="148"/>
      <c r="J592" s="148"/>
      <c r="K592" s="148"/>
      <c r="L592" s="145"/>
      <c r="M592" s="145"/>
      <c r="N592" s="145"/>
      <c r="O592" s="145"/>
      <c r="P592" s="145"/>
      <c r="Q592" s="145"/>
      <c r="W592" s="1"/>
    </row>
    <row r="593" spans="1:23" s="68" customFormat="1">
      <c r="A593" s="348">
        <f t="shared" si="12"/>
        <v>557</v>
      </c>
      <c r="B593" s="378" t="s">
        <v>149</v>
      </c>
      <c r="C593" s="561" t="s">
        <v>1183</v>
      </c>
      <c r="D593" s="377"/>
      <c r="E593" s="378" t="s">
        <v>77</v>
      </c>
      <c r="F593" s="354">
        <v>30</v>
      </c>
      <c r="G593" s="378"/>
      <c r="H593" s="145"/>
      <c r="I593" s="148"/>
      <c r="J593" s="148"/>
      <c r="K593" s="148"/>
      <c r="L593" s="145"/>
      <c r="M593" s="145"/>
      <c r="N593" s="145"/>
      <c r="O593" s="145"/>
      <c r="P593" s="145"/>
      <c r="Q593" s="145"/>
      <c r="W593" s="1"/>
    </row>
    <row r="594" spans="1:23" s="68" customFormat="1">
      <c r="A594" s="348">
        <f t="shared" si="12"/>
        <v>558</v>
      </c>
      <c r="B594" s="378" t="s">
        <v>149</v>
      </c>
      <c r="C594" s="377" t="s">
        <v>1174</v>
      </c>
      <c r="D594" s="378"/>
      <c r="E594" s="378" t="s">
        <v>85</v>
      </c>
      <c r="F594" s="354">
        <v>3</v>
      </c>
      <c r="G594" s="378"/>
      <c r="H594" s="145"/>
      <c r="I594" s="148"/>
      <c r="J594" s="148"/>
      <c r="K594" s="148"/>
      <c r="L594" s="145"/>
      <c r="M594" s="145"/>
      <c r="N594" s="145"/>
      <c r="O594" s="145"/>
      <c r="P594" s="145"/>
      <c r="Q594" s="145"/>
      <c r="W594" s="1"/>
    </row>
    <row r="595" spans="1:23" s="68" customFormat="1">
      <c r="A595" s="348">
        <f t="shared" si="12"/>
        <v>559</v>
      </c>
      <c r="B595" s="378" t="s">
        <v>149</v>
      </c>
      <c r="C595" s="377" t="s">
        <v>1184</v>
      </c>
      <c r="D595" s="377"/>
      <c r="E595" s="378" t="s">
        <v>100</v>
      </c>
      <c r="F595" s="354">
        <v>1</v>
      </c>
      <c r="G595" s="378"/>
      <c r="H595" s="145"/>
      <c r="I595" s="148"/>
      <c r="J595" s="148"/>
      <c r="K595" s="148"/>
      <c r="L595" s="145"/>
      <c r="M595" s="145"/>
      <c r="N595" s="145"/>
      <c r="O595" s="145"/>
      <c r="P595" s="145"/>
      <c r="Q595" s="145"/>
      <c r="W595" s="1"/>
    </row>
    <row r="596" spans="1:23" s="68" customFormat="1">
      <c r="A596" s="380">
        <f t="shared" si="12"/>
        <v>560</v>
      </c>
      <c r="B596" s="382" t="s">
        <v>149</v>
      </c>
      <c r="C596" s="381" t="s">
        <v>1185</v>
      </c>
      <c r="D596" s="381"/>
      <c r="E596" s="382" t="s">
        <v>100</v>
      </c>
      <c r="F596" s="441">
        <v>1</v>
      </c>
      <c r="G596" s="382"/>
      <c r="H596" s="150"/>
      <c r="I596" s="151"/>
      <c r="J596" s="151"/>
      <c r="K596" s="151"/>
      <c r="L596" s="150"/>
      <c r="M596" s="150"/>
      <c r="N596" s="150"/>
      <c r="O596" s="150"/>
      <c r="P596" s="150"/>
      <c r="Q596" s="150"/>
      <c r="W596" s="1"/>
    </row>
    <row r="597" spans="1:23" s="68" customFormat="1">
      <c r="A597" s="370"/>
      <c r="B597" s="500"/>
      <c r="C597" s="371" t="s">
        <v>1186</v>
      </c>
      <c r="D597" s="547"/>
      <c r="E597" s="547"/>
      <c r="F597" s="580"/>
      <c r="G597" s="547"/>
      <c r="H597" s="135"/>
      <c r="I597" s="152"/>
      <c r="J597" s="152"/>
      <c r="K597" s="152"/>
      <c r="L597" s="135"/>
      <c r="M597" s="135"/>
      <c r="N597" s="135"/>
      <c r="O597" s="135"/>
      <c r="P597" s="135"/>
      <c r="Q597" s="135"/>
      <c r="W597" s="1"/>
    </row>
    <row r="598" spans="1:23" s="68" customFormat="1" ht="24">
      <c r="A598" s="385">
        <f>A596+1</f>
        <v>561</v>
      </c>
      <c r="B598" s="387" t="s">
        <v>149</v>
      </c>
      <c r="C598" s="386" t="s">
        <v>1181</v>
      </c>
      <c r="D598" s="387" t="s">
        <v>1182</v>
      </c>
      <c r="E598" s="387" t="s">
        <v>100</v>
      </c>
      <c r="F598" s="433">
        <v>1</v>
      </c>
      <c r="G598" s="387"/>
      <c r="H598" s="146"/>
      <c r="I598" s="149"/>
      <c r="J598" s="149"/>
      <c r="K598" s="149"/>
      <c r="L598" s="146"/>
      <c r="M598" s="146"/>
      <c r="N598" s="146"/>
      <c r="O598" s="146"/>
      <c r="P598" s="146"/>
      <c r="Q598" s="146"/>
      <c r="W598" s="1"/>
    </row>
    <row r="599" spans="1:23" s="68" customFormat="1">
      <c r="A599" s="348">
        <f>A598+1</f>
        <v>562</v>
      </c>
      <c r="B599" s="378" t="s">
        <v>149</v>
      </c>
      <c r="C599" s="377" t="s">
        <v>1169</v>
      </c>
      <c r="D599" s="377"/>
      <c r="E599" s="378" t="s">
        <v>100</v>
      </c>
      <c r="F599" s="354">
        <v>1</v>
      </c>
      <c r="G599" s="378"/>
      <c r="H599" s="145"/>
      <c r="I599" s="148"/>
      <c r="J599" s="148"/>
      <c r="K599" s="148"/>
      <c r="L599" s="145"/>
      <c r="M599" s="145"/>
      <c r="N599" s="145"/>
      <c r="O599" s="145"/>
      <c r="P599" s="145"/>
      <c r="Q599" s="145"/>
      <c r="W599" s="1"/>
    </row>
    <row r="600" spans="1:23" s="68" customFormat="1">
      <c r="A600" s="348">
        <f t="shared" si="12"/>
        <v>563</v>
      </c>
      <c r="B600" s="378" t="s">
        <v>149</v>
      </c>
      <c r="C600" s="561" t="s">
        <v>1173</v>
      </c>
      <c r="D600" s="377"/>
      <c r="E600" s="378" t="s">
        <v>77</v>
      </c>
      <c r="F600" s="354">
        <v>20</v>
      </c>
      <c r="G600" s="378"/>
      <c r="H600" s="145"/>
      <c r="I600" s="148"/>
      <c r="J600" s="148"/>
      <c r="K600" s="148"/>
      <c r="L600" s="145"/>
      <c r="M600" s="145"/>
      <c r="N600" s="145"/>
      <c r="O600" s="145"/>
      <c r="P600" s="145"/>
      <c r="Q600" s="145"/>
      <c r="W600" s="1"/>
    </row>
    <row r="601" spans="1:23" s="68" customFormat="1">
      <c r="A601" s="348">
        <f t="shared" si="12"/>
        <v>564</v>
      </c>
      <c r="B601" s="378" t="s">
        <v>149</v>
      </c>
      <c r="C601" s="561" t="s">
        <v>1183</v>
      </c>
      <c r="D601" s="377"/>
      <c r="E601" s="378" t="s">
        <v>77</v>
      </c>
      <c r="F601" s="354">
        <v>20</v>
      </c>
      <c r="G601" s="378"/>
      <c r="H601" s="145"/>
      <c r="I601" s="148"/>
      <c r="J601" s="148"/>
      <c r="K601" s="148"/>
      <c r="L601" s="145"/>
      <c r="M601" s="145"/>
      <c r="N601" s="145"/>
      <c r="O601" s="145"/>
      <c r="P601" s="145"/>
      <c r="Q601" s="145"/>
      <c r="W601" s="1"/>
    </row>
    <row r="602" spans="1:23" s="68" customFormat="1">
      <c r="A602" s="348">
        <f t="shared" si="12"/>
        <v>565</v>
      </c>
      <c r="B602" s="378" t="s">
        <v>149</v>
      </c>
      <c r="C602" s="377" t="s">
        <v>1174</v>
      </c>
      <c r="D602" s="378"/>
      <c r="E602" s="378" t="s">
        <v>85</v>
      </c>
      <c r="F602" s="354">
        <v>3</v>
      </c>
      <c r="G602" s="378"/>
      <c r="H602" s="145"/>
      <c r="I602" s="148"/>
      <c r="J602" s="148"/>
      <c r="K602" s="148"/>
      <c r="L602" s="145"/>
      <c r="M602" s="145"/>
      <c r="N602" s="145"/>
      <c r="O602" s="145"/>
      <c r="P602" s="145"/>
      <c r="Q602" s="145"/>
      <c r="W602" s="1"/>
    </row>
    <row r="603" spans="1:23" s="68" customFormat="1">
      <c r="A603" s="380">
        <f t="shared" si="12"/>
        <v>566</v>
      </c>
      <c r="B603" s="382" t="s">
        <v>149</v>
      </c>
      <c r="C603" s="381" t="s">
        <v>1184</v>
      </c>
      <c r="D603" s="381"/>
      <c r="E603" s="382" t="s">
        <v>100</v>
      </c>
      <c r="F603" s="441">
        <v>1</v>
      </c>
      <c r="G603" s="382"/>
      <c r="H603" s="150"/>
      <c r="I603" s="151"/>
      <c r="J603" s="151"/>
      <c r="K603" s="151"/>
      <c r="L603" s="150"/>
      <c r="M603" s="150"/>
      <c r="N603" s="150"/>
      <c r="O603" s="150"/>
      <c r="P603" s="150"/>
      <c r="Q603" s="150"/>
      <c r="W603" s="1"/>
    </row>
    <row r="604" spans="1:23" s="68" customFormat="1">
      <c r="A604" s="370"/>
      <c r="B604" s="500"/>
      <c r="C604" s="371" t="s">
        <v>1187</v>
      </c>
      <c r="D604" s="547"/>
      <c r="E604" s="547"/>
      <c r="F604" s="580"/>
      <c r="G604" s="547"/>
      <c r="H604" s="135"/>
      <c r="I604" s="152"/>
      <c r="J604" s="152"/>
      <c r="K604" s="152"/>
      <c r="L604" s="135"/>
      <c r="M604" s="135"/>
      <c r="N604" s="135"/>
      <c r="O604" s="135"/>
      <c r="P604" s="135"/>
      <c r="Q604" s="135"/>
      <c r="W604" s="1"/>
    </row>
    <row r="605" spans="1:23" s="68" customFormat="1">
      <c r="A605" s="366">
        <f>A603+1</f>
        <v>567</v>
      </c>
      <c r="B605" s="495" t="s">
        <v>149</v>
      </c>
      <c r="C605" s="579" t="s">
        <v>1188</v>
      </c>
      <c r="D605" s="495"/>
      <c r="E605" s="495" t="s">
        <v>100</v>
      </c>
      <c r="F605" s="438">
        <v>1</v>
      </c>
      <c r="G605" s="495"/>
      <c r="H605" s="146"/>
      <c r="I605" s="149"/>
      <c r="J605" s="149"/>
      <c r="K605" s="149"/>
      <c r="L605" s="146"/>
      <c r="M605" s="146"/>
      <c r="N605" s="146"/>
      <c r="O605" s="146"/>
      <c r="P605" s="146"/>
      <c r="Q605" s="146"/>
      <c r="W605" s="1"/>
    </row>
    <row r="606" spans="1:23">
      <c r="A606" s="890" t="s">
        <v>177</v>
      </c>
      <c r="B606" s="890"/>
      <c r="C606" s="890"/>
      <c r="D606" s="890"/>
      <c r="E606" s="890"/>
      <c r="F606" s="890"/>
      <c r="G606" s="890"/>
      <c r="H606" s="890"/>
      <c r="I606" s="890"/>
      <c r="J606" s="890"/>
      <c r="K606" s="890"/>
      <c r="L606" s="890"/>
      <c r="M606" s="131">
        <f>SUM(M15:M605)</f>
        <v>0</v>
      </c>
      <c r="N606" s="131">
        <f>SUM(N15:N605)</f>
        <v>0</v>
      </c>
      <c r="O606" s="131">
        <f>SUM(O15:O605)</f>
        <v>0</v>
      </c>
      <c r="P606" s="131">
        <f>SUM(P15:P605)</f>
        <v>0</v>
      </c>
      <c r="Q606" s="131">
        <f>SUM(Q15:Q605)</f>
        <v>0</v>
      </c>
    </row>
    <row r="607" spans="1:23" s="50" customFormat="1" collapsed="1">
      <c r="A607" s="885" t="s">
        <v>36</v>
      </c>
      <c r="B607" s="885"/>
      <c r="C607" s="1"/>
      <c r="D607" s="1"/>
      <c r="E607" s="1"/>
      <c r="F607" s="98"/>
      <c r="G607" s="1"/>
      <c r="H607" s="1"/>
      <c r="I607" s="1"/>
      <c r="J607" s="1"/>
      <c r="K607" s="1"/>
      <c r="L607" s="1"/>
      <c r="M607" s="1"/>
      <c r="N607" s="1"/>
      <c r="O607" s="1"/>
      <c r="P607" s="1"/>
      <c r="Q607" s="1"/>
    </row>
    <row r="608" spans="1:23" s="50" customFormat="1">
      <c r="A608" s="886" t="s">
        <v>56</v>
      </c>
      <c r="B608" s="886"/>
      <c r="C608" s="886"/>
      <c r="D608" s="886"/>
      <c r="E608" s="886"/>
      <c r="F608" s="886"/>
      <c r="G608" s="886"/>
      <c r="H608" s="886"/>
      <c r="I608" s="886"/>
      <c r="J608" s="886"/>
      <c r="K608" s="886"/>
      <c r="L608" s="886"/>
      <c r="M608" s="886"/>
      <c r="N608" s="886"/>
      <c r="O608" s="886"/>
      <c r="P608" s="886"/>
      <c r="Q608" s="886"/>
    </row>
    <row r="609" spans="1:17" s="50" customFormat="1" collapsed="1">
      <c r="A609" s="903"/>
      <c r="B609" s="903"/>
      <c r="C609" s="9"/>
      <c r="D609" s="9"/>
      <c r="E609" s="9"/>
      <c r="F609" s="111"/>
      <c r="G609" s="9"/>
      <c r="H609" s="9"/>
      <c r="I609" s="9"/>
      <c r="J609" s="9"/>
      <c r="K609" s="9"/>
      <c r="L609" s="9"/>
      <c r="M609" s="50">
        <f>Koptame!A55</f>
        <v>0</v>
      </c>
    </row>
    <row r="610" spans="1:17">
      <c r="A610" s="902" t="s">
        <v>7</v>
      </c>
      <c r="B610" s="902"/>
      <c r="C610" s="307"/>
      <c r="D610" s="307"/>
      <c r="E610" s="9"/>
      <c r="F610" s="111"/>
      <c r="G610" s="9"/>
      <c r="H610" s="9"/>
      <c r="I610" s="9"/>
      <c r="J610" s="9"/>
      <c r="K610" s="9"/>
      <c r="L610" s="9"/>
      <c r="M610" s="307"/>
      <c r="N610" s="81">
        <f>Koptame!B56</f>
        <v>0</v>
      </c>
      <c r="O610" s="81"/>
      <c r="P610" s="50"/>
      <c r="Q610" s="50"/>
    </row>
  </sheetData>
  <mergeCells count="25">
    <mergeCell ref="A1:Q1"/>
    <mergeCell ref="A3:B3"/>
    <mergeCell ref="C3:Q3"/>
    <mergeCell ref="A4:B4"/>
    <mergeCell ref="C4:Q4"/>
    <mergeCell ref="A2:Q2"/>
    <mergeCell ref="G10:L10"/>
    <mergeCell ref="M10:Q10"/>
    <mergeCell ref="A10:A11"/>
    <mergeCell ref="B10:B11"/>
    <mergeCell ref="C10:C11"/>
    <mergeCell ref="E10:E11"/>
    <mergeCell ref="F10:F11"/>
    <mergeCell ref="D10:D11"/>
    <mergeCell ref="A5:B5"/>
    <mergeCell ref="C5:Q5"/>
    <mergeCell ref="A6:B6"/>
    <mergeCell ref="C6:Q6"/>
    <mergeCell ref="A7:B7"/>
    <mergeCell ref="C7:Q7"/>
    <mergeCell ref="A610:B610"/>
    <mergeCell ref="A607:B607"/>
    <mergeCell ref="A608:Q608"/>
    <mergeCell ref="A609:B609"/>
    <mergeCell ref="A606:L606"/>
  </mergeCells>
  <conditionalFormatting sqref="C13:E605">
    <cfRule type="expression" priority="20"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46"/>
  <sheetViews>
    <sheetView showZeros="0" zoomScale="75" zoomScaleNormal="75" zoomScaleSheetLayoutView="90" workbookViewId="0">
      <selection activeCell="A2" sqref="A2:I2"/>
    </sheetView>
  </sheetViews>
  <sheetFormatPr defaultColWidth="9.140625" defaultRowHeight="12.75"/>
  <cols>
    <col min="1" max="1" width="10.28515625" style="34" customWidth="1"/>
    <col min="2" max="2" width="12.7109375" style="34" customWidth="1"/>
    <col min="3" max="3" width="32.7109375" style="34" customWidth="1"/>
    <col min="4" max="4" width="10" style="34" customWidth="1"/>
    <col min="5" max="5" width="13.28515625" style="34" customWidth="1"/>
    <col min="6" max="6" width="13.7109375" style="34" customWidth="1"/>
    <col min="7" max="7" width="17.5703125" style="34" customWidth="1"/>
    <col min="8" max="8" width="12.85546875" style="34" customWidth="1"/>
    <col min="9" max="9" width="14.140625" style="34" customWidth="1"/>
    <col min="10" max="16384" width="9.140625" style="34"/>
  </cols>
  <sheetData>
    <row r="1" spans="1:9" ht="18.75" customHeight="1"/>
    <row r="2" spans="1:9" ht="18" customHeight="1">
      <c r="A2" s="861" t="s">
        <v>104</v>
      </c>
      <c r="B2" s="861"/>
      <c r="C2" s="861"/>
      <c r="D2" s="861"/>
      <c r="E2" s="861"/>
      <c r="F2" s="861"/>
      <c r="G2" s="861"/>
      <c r="H2" s="861"/>
      <c r="I2" s="861"/>
    </row>
    <row r="3" spans="1:9" ht="18.75">
      <c r="C3" s="35"/>
      <c r="D3" s="36"/>
      <c r="F3" s="37"/>
      <c r="G3" s="37"/>
      <c r="H3" s="37"/>
      <c r="I3" s="37"/>
    </row>
    <row r="4" spans="1:9">
      <c r="A4" s="38"/>
    </row>
    <row r="5" spans="1:9" ht="18" customHeight="1">
      <c r="A5" s="865" t="str">
        <f>Koptame!B19</f>
        <v>Vispārceltniecības darbi</v>
      </c>
      <c r="B5" s="866"/>
      <c r="C5" s="866"/>
      <c r="D5" s="866"/>
      <c r="E5" s="866"/>
      <c r="F5" s="866"/>
      <c r="G5" s="866"/>
      <c r="H5" s="866"/>
      <c r="I5" s="867"/>
    </row>
    <row r="6" spans="1:9">
      <c r="A6" s="38"/>
    </row>
    <row r="7" spans="1:9" ht="15.75" customHeight="1">
      <c r="A7" s="868" t="s">
        <v>10</v>
      </c>
      <c r="B7" s="868"/>
      <c r="C7" s="859" t="s">
        <v>117</v>
      </c>
      <c r="D7" s="859"/>
      <c r="E7" s="859"/>
      <c r="F7" s="859"/>
      <c r="G7" s="859"/>
      <c r="H7" s="859"/>
      <c r="I7" s="859"/>
    </row>
    <row r="8" spans="1:9" ht="15.75" customHeight="1">
      <c r="A8" s="850" t="s">
        <v>11</v>
      </c>
      <c r="B8" s="850"/>
      <c r="C8" s="859" t="s">
        <v>118</v>
      </c>
      <c r="D8" s="859"/>
      <c r="E8" s="859"/>
      <c r="F8" s="859"/>
      <c r="G8" s="859"/>
      <c r="H8" s="859"/>
      <c r="I8" s="859"/>
    </row>
    <row r="9" spans="1:9" ht="15.75" customHeight="1">
      <c r="A9" s="850" t="s">
        <v>12</v>
      </c>
      <c r="B9" s="850"/>
      <c r="C9" s="859" t="s">
        <v>50</v>
      </c>
      <c r="D9" s="859"/>
      <c r="E9" s="859"/>
      <c r="F9" s="859"/>
      <c r="G9" s="859"/>
      <c r="H9" s="859"/>
      <c r="I9" s="859"/>
    </row>
    <row r="10" spans="1:9" ht="15">
      <c r="A10" s="850" t="s">
        <v>30</v>
      </c>
      <c r="B10" s="850"/>
      <c r="C10" s="52">
        <f>Koptame!B14</f>
        <v>0</v>
      </c>
      <c r="D10" s="53"/>
      <c r="E10" s="39"/>
      <c r="F10" s="39"/>
      <c r="G10" s="39"/>
      <c r="H10" s="39"/>
      <c r="I10" s="39"/>
    </row>
    <row r="11" spans="1:9" ht="15" customHeight="1">
      <c r="A11" s="850" t="s">
        <v>54</v>
      </c>
      <c r="B11" s="850"/>
      <c r="C11" s="53"/>
      <c r="D11" s="53"/>
      <c r="E11" s="39"/>
      <c r="F11" s="39"/>
      <c r="G11" s="39"/>
      <c r="H11" s="39"/>
      <c r="I11" s="39"/>
    </row>
    <row r="12" spans="1:9" ht="18" customHeight="1">
      <c r="A12" s="53"/>
      <c r="B12" s="39"/>
      <c r="C12" s="39"/>
      <c r="D12" s="39"/>
      <c r="E12" s="39"/>
      <c r="F12" s="862" t="s">
        <v>43</v>
      </c>
      <c r="G12" s="863"/>
      <c r="H12" s="39"/>
      <c r="I12" s="39"/>
    </row>
    <row r="13" spans="1:9" ht="15">
      <c r="A13" s="53"/>
      <c r="B13" s="39"/>
      <c r="C13" s="39"/>
      <c r="D13" s="39"/>
      <c r="E13" s="39"/>
      <c r="F13" s="862" t="s">
        <v>13</v>
      </c>
      <c r="G13" s="863"/>
      <c r="H13" s="39"/>
      <c r="I13" s="39"/>
    </row>
    <row r="14" spans="1:9" ht="15.75">
      <c r="A14" s="40"/>
    </row>
    <row r="15" spans="1:9" ht="51" customHeight="1">
      <c r="A15" s="860" t="s">
        <v>14</v>
      </c>
      <c r="B15" s="860" t="s">
        <v>15</v>
      </c>
      <c r="C15" s="869" t="s">
        <v>16</v>
      </c>
      <c r="D15" s="870"/>
      <c r="E15" s="860" t="s">
        <v>44</v>
      </c>
      <c r="F15" s="860" t="s">
        <v>17</v>
      </c>
      <c r="G15" s="860"/>
      <c r="H15" s="860"/>
      <c r="I15" s="860" t="s">
        <v>18</v>
      </c>
    </row>
    <row r="16" spans="1:9" ht="40.5" customHeight="1">
      <c r="A16" s="860"/>
      <c r="B16" s="860"/>
      <c r="C16" s="871"/>
      <c r="D16" s="872"/>
      <c r="E16" s="860"/>
      <c r="F16" s="304" t="s">
        <v>45</v>
      </c>
      <c r="G16" s="304" t="s">
        <v>46</v>
      </c>
      <c r="H16" s="304" t="s">
        <v>47</v>
      </c>
      <c r="I16" s="860"/>
    </row>
    <row r="17" spans="1:9" ht="15" customHeight="1">
      <c r="A17" s="337">
        <v>1</v>
      </c>
      <c r="B17" s="338" t="s">
        <v>124</v>
      </c>
      <c r="C17" s="864" t="s">
        <v>125</v>
      </c>
      <c r="D17" s="864"/>
      <c r="E17" s="195"/>
      <c r="F17" s="195"/>
      <c r="G17" s="195"/>
      <c r="H17" s="195"/>
      <c r="I17" s="196"/>
    </row>
    <row r="18" spans="1:9" ht="15" customHeight="1">
      <c r="A18" s="339">
        <f>A17+1</f>
        <v>2</v>
      </c>
      <c r="B18" s="340" t="s">
        <v>126</v>
      </c>
      <c r="C18" s="857" t="s">
        <v>53</v>
      </c>
      <c r="D18" s="857"/>
      <c r="E18" s="197"/>
      <c r="F18" s="197"/>
      <c r="G18" s="197"/>
      <c r="H18" s="197"/>
      <c r="I18" s="198"/>
    </row>
    <row r="19" spans="1:9" ht="15" customHeight="1">
      <c r="A19" s="339">
        <f>A18+1</f>
        <v>3</v>
      </c>
      <c r="B19" s="340" t="s">
        <v>127</v>
      </c>
      <c r="C19" s="857" t="s">
        <v>128</v>
      </c>
      <c r="D19" s="857"/>
      <c r="E19" s="197"/>
      <c r="F19" s="197"/>
      <c r="G19" s="197"/>
      <c r="H19" s="197"/>
      <c r="I19" s="198"/>
    </row>
    <row r="20" spans="1:9" ht="15" customHeight="1">
      <c r="A20" s="339">
        <f>A19+1</f>
        <v>4</v>
      </c>
      <c r="B20" s="340" t="s">
        <v>129</v>
      </c>
      <c r="C20" s="857" t="s">
        <v>130</v>
      </c>
      <c r="D20" s="857"/>
      <c r="E20" s="197"/>
      <c r="F20" s="197"/>
      <c r="G20" s="197"/>
      <c r="H20" s="197"/>
      <c r="I20" s="198"/>
    </row>
    <row r="21" spans="1:9" ht="15" customHeight="1">
      <c r="A21" s="339">
        <f>A20+1</f>
        <v>5</v>
      </c>
      <c r="B21" s="340" t="s">
        <v>131</v>
      </c>
      <c r="C21" s="857" t="s">
        <v>95</v>
      </c>
      <c r="D21" s="857"/>
      <c r="E21" s="197"/>
      <c r="F21" s="197"/>
      <c r="G21" s="197"/>
      <c r="H21" s="197"/>
      <c r="I21" s="198"/>
    </row>
    <row r="22" spans="1:9">
      <c r="A22" s="339">
        <f t="shared" ref="A22:A30" si="0">A21+1</f>
        <v>6</v>
      </c>
      <c r="B22" s="340" t="s">
        <v>132</v>
      </c>
      <c r="C22" s="857" t="s">
        <v>133</v>
      </c>
      <c r="D22" s="857"/>
      <c r="E22" s="197"/>
      <c r="F22" s="197"/>
      <c r="G22" s="197"/>
      <c r="H22" s="197"/>
      <c r="I22" s="198"/>
    </row>
    <row r="23" spans="1:9">
      <c r="A23" s="339">
        <f t="shared" si="0"/>
        <v>7</v>
      </c>
      <c r="B23" s="340" t="s">
        <v>134</v>
      </c>
      <c r="C23" s="857" t="s">
        <v>135</v>
      </c>
      <c r="D23" s="857"/>
      <c r="E23" s="197"/>
      <c r="F23" s="197"/>
      <c r="G23" s="197"/>
      <c r="H23" s="197"/>
      <c r="I23" s="198"/>
    </row>
    <row r="24" spans="1:9" ht="12.75" customHeight="1">
      <c r="A24" s="339">
        <f t="shared" si="0"/>
        <v>8</v>
      </c>
      <c r="B24" s="340" t="s">
        <v>136</v>
      </c>
      <c r="C24" s="857" t="s">
        <v>137</v>
      </c>
      <c r="D24" s="857"/>
      <c r="E24" s="197"/>
      <c r="F24" s="197"/>
      <c r="G24" s="197"/>
      <c r="H24" s="197"/>
      <c r="I24" s="198"/>
    </row>
    <row r="25" spans="1:9" ht="12.75" customHeight="1">
      <c r="A25" s="339">
        <f t="shared" si="0"/>
        <v>9</v>
      </c>
      <c r="B25" s="340" t="s">
        <v>138</v>
      </c>
      <c r="C25" s="857" t="s">
        <v>139</v>
      </c>
      <c r="D25" s="857"/>
      <c r="E25" s="197"/>
      <c r="F25" s="197"/>
      <c r="G25" s="197"/>
      <c r="H25" s="197"/>
      <c r="I25" s="198"/>
    </row>
    <row r="26" spans="1:9" ht="12.75" customHeight="1">
      <c r="A26" s="339">
        <f t="shared" si="0"/>
        <v>10</v>
      </c>
      <c r="B26" s="340" t="s">
        <v>140</v>
      </c>
      <c r="C26" s="857" t="s">
        <v>141</v>
      </c>
      <c r="D26" s="857"/>
      <c r="E26" s="197"/>
      <c r="F26" s="197"/>
      <c r="G26" s="197"/>
      <c r="H26" s="197"/>
      <c r="I26" s="199"/>
    </row>
    <row r="27" spans="1:9">
      <c r="A27" s="339">
        <f t="shared" si="0"/>
        <v>11</v>
      </c>
      <c r="B27" s="340" t="s">
        <v>142</v>
      </c>
      <c r="C27" s="857" t="s">
        <v>143</v>
      </c>
      <c r="D27" s="857"/>
      <c r="E27" s="197"/>
      <c r="F27" s="197"/>
      <c r="G27" s="197"/>
      <c r="H27" s="197"/>
      <c r="I27" s="199"/>
    </row>
    <row r="28" spans="1:9">
      <c r="A28" s="339">
        <f t="shared" si="0"/>
        <v>12</v>
      </c>
      <c r="B28" s="340" t="s">
        <v>144</v>
      </c>
      <c r="C28" s="857" t="s">
        <v>145</v>
      </c>
      <c r="D28" s="857"/>
      <c r="E28" s="197"/>
      <c r="F28" s="197"/>
      <c r="G28" s="197"/>
      <c r="H28" s="197"/>
      <c r="I28" s="199"/>
    </row>
    <row r="29" spans="1:9">
      <c r="A29" s="339">
        <f t="shared" si="0"/>
        <v>13</v>
      </c>
      <c r="B29" s="340" t="s">
        <v>146</v>
      </c>
      <c r="C29" s="857" t="s">
        <v>76</v>
      </c>
      <c r="D29" s="857"/>
      <c r="E29" s="197"/>
      <c r="F29" s="197"/>
      <c r="G29" s="197"/>
      <c r="H29" s="197"/>
      <c r="I29" s="199"/>
    </row>
    <row r="30" spans="1:9" ht="12.75" customHeight="1">
      <c r="A30" s="341">
        <f t="shared" si="0"/>
        <v>14</v>
      </c>
      <c r="B30" s="342" t="s">
        <v>147</v>
      </c>
      <c r="C30" s="858" t="s">
        <v>148</v>
      </c>
      <c r="D30" s="858"/>
      <c r="E30" s="319"/>
      <c r="F30" s="319"/>
      <c r="G30" s="319"/>
      <c r="H30" s="319"/>
      <c r="I30" s="319"/>
    </row>
    <row r="31" spans="1:9" ht="15.75" customHeight="1">
      <c r="A31" s="851" t="s">
        <v>19</v>
      </c>
      <c r="B31" s="852"/>
      <c r="C31" s="853"/>
      <c r="D31" s="304"/>
      <c r="E31" s="124"/>
      <c r="F31" s="124"/>
      <c r="G31" s="124"/>
      <c r="H31" s="124"/>
      <c r="I31" s="124"/>
    </row>
    <row r="32" spans="1:9" ht="15.75" customHeight="1">
      <c r="A32" s="848" t="s">
        <v>31</v>
      </c>
      <c r="B32" s="848"/>
      <c r="C32" s="848"/>
      <c r="D32" s="125" t="s">
        <v>114</v>
      </c>
      <c r="E32" s="126"/>
      <c r="F32" s="126"/>
      <c r="G32" s="126"/>
      <c r="H32" s="126"/>
      <c r="I32" s="124"/>
    </row>
    <row r="33" spans="1:9" ht="15.75" customHeight="1">
      <c r="A33" s="854" t="s">
        <v>35</v>
      </c>
      <c r="B33" s="855"/>
      <c r="C33" s="856"/>
      <c r="D33" s="125" t="s">
        <v>114</v>
      </c>
      <c r="E33" s="126"/>
      <c r="F33" s="126"/>
      <c r="G33" s="126"/>
      <c r="H33" s="126"/>
      <c r="I33" s="124"/>
    </row>
    <row r="34" spans="1:9" ht="15.75" customHeight="1">
      <c r="A34" s="848" t="s">
        <v>29</v>
      </c>
      <c r="B34" s="848"/>
      <c r="C34" s="848"/>
      <c r="D34" s="125" t="s">
        <v>114</v>
      </c>
      <c r="E34" s="126"/>
      <c r="F34" s="126"/>
      <c r="G34" s="126"/>
      <c r="H34" s="126"/>
      <c r="I34" s="124"/>
    </row>
    <row r="35" spans="1:9" ht="15.75" customHeight="1">
      <c r="A35" s="851" t="s">
        <v>20</v>
      </c>
      <c r="B35" s="852"/>
      <c r="C35" s="853"/>
      <c r="D35" s="132"/>
      <c r="E35" s="124">
        <f>E31+E32+E34</f>
        <v>0</v>
      </c>
      <c r="F35" s="124"/>
      <c r="G35" s="124"/>
      <c r="H35" s="124"/>
      <c r="I35" s="124"/>
    </row>
    <row r="36" spans="1:9" ht="18.75">
      <c r="A36" s="41"/>
    </row>
    <row r="37" spans="1:9" ht="18.75">
      <c r="A37" s="41"/>
    </row>
    <row r="38" spans="1:9" ht="15">
      <c r="A38" s="849" t="s">
        <v>7</v>
      </c>
      <c r="B38" s="849"/>
      <c r="C38" s="4"/>
      <c r="F38" s="39"/>
    </row>
    <row r="39" spans="1:9" ht="15">
      <c r="A39" s="39"/>
      <c r="B39" s="4"/>
      <c r="C39" s="307">
        <f>Koptame!B32</f>
        <v>0</v>
      </c>
      <c r="D39" s="42"/>
      <c r="E39" s="42"/>
      <c r="F39" s="39"/>
    </row>
    <row r="40" spans="1:9" ht="15">
      <c r="A40" s="43"/>
      <c r="B40" s="3"/>
      <c r="C40" s="305">
        <f>Koptame!B33</f>
        <v>0</v>
      </c>
      <c r="D40" s="39"/>
      <c r="E40" s="39"/>
      <c r="F40" s="39"/>
    </row>
    <row r="41" spans="1:9" ht="15">
      <c r="B41" s="3"/>
      <c r="C41" s="305"/>
    </row>
    <row r="42" spans="1:9" ht="15">
      <c r="B42" s="3"/>
      <c r="C42" s="305"/>
    </row>
    <row r="43" spans="1:9" ht="15">
      <c r="B43" s="7"/>
      <c r="C43" s="1"/>
    </row>
    <row r="44" spans="1:9" ht="15">
      <c r="B44" s="3">
        <f>Koptame!A37</f>
        <v>0</v>
      </c>
      <c r="C44" s="2">
        <f>Koptame!B37</f>
        <v>0</v>
      </c>
    </row>
    <row r="45" spans="1:9" ht="15">
      <c r="B45" s="4">
        <f>Koptame!A38</f>
        <v>0</v>
      </c>
      <c r="C45" s="307">
        <f>Koptame!B38</f>
        <v>0</v>
      </c>
    </row>
    <row r="46" spans="1:9" ht="15">
      <c r="B46" s="3">
        <f>Koptame!A39</f>
        <v>0</v>
      </c>
      <c r="C46" s="305">
        <f>Koptame!B39</f>
        <v>0</v>
      </c>
    </row>
  </sheetData>
  <mergeCells count="38">
    <mergeCell ref="A2:I2"/>
    <mergeCell ref="A15:A16"/>
    <mergeCell ref="C7:I7"/>
    <mergeCell ref="C24:D24"/>
    <mergeCell ref="F12:G12"/>
    <mergeCell ref="F13:G13"/>
    <mergeCell ref="C17:D17"/>
    <mergeCell ref="C23:D23"/>
    <mergeCell ref="A5:I5"/>
    <mergeCell ref="A7:B7"/>
    <mergeCell ref="I15:I16"/>
    <mergeCell ref="A9:B9"/>
    <mergeCell ref="A10:B10"/>
    <mergeCell ref="B15:B16"/>
    <mergeCell ref="C15:D16"/>
    <mergeCell ref="A8:B8"/>
    <mergeCell ref="C8:I8"/>
    <mergeCell ref="C9:I9"/>
    <mergeCell ref="E15:E16"/>
    <mergeCell ref="F15:H15"/>
    <mergeCell ref="C25:D25"/>
    <mergeCell ref="C18:D18"/>
    <mergeCell ref="C19:D19"/>
    <mergeCell ref="C20:D20"/>
    <mergeCell ref="C21:D21"/>
    <mergeCell ref="A34:C34"/>
    <mergeCell ref="A38:B38"/>
    <mergeCell ref="A11:B11"/>
    <mergeCell ref="A31:C31"/>
    <mergeCell ref="A33:C33"/>
    <mergeCell ref="A35:C35"/>
    <mergeCell ref="C29:D29"/>
    <mergeCell ref="A32:C32"/>
    <mergeCell ref="C30:D30"/>
    <mergeCell ref="C22:D22"/>
    <mergeCell ref="C27:D27"/>
    <mergeCell ref="C28:D28"/>
    <mergeCell ref="C26:D26"/>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GV146"/>
  <sheetViews>
    <sheetView showZeros="0" zoomScale="75" zoomScaleNormal="75" zoomScaleSheetLayoutView="80" workbookViewId="0">
      <selection sqref="A1:Q1"/>
    </sheetView>
  </sheetViews>
  <sheetFormatPr defaultColWidth="9.140625" defaultRowHeight="15"/>
  <cols>
    <col min="1" max="1" width="8.85546875" style="60" customWidth="1"/>
    <col min="2" max="2" width="11.85546875" style="60" customWidth="1"/>
    <col min="3" max="3" width="45.7109375" style="60" customWidth="1"/>
    <col min="4" max="4" width="8" style="60" customWidth="1"/>
    <col min="5" max="5" width="8.7109375" style="60" customWidth="1"/>
    <col min="6" max="6" width="8.7109375" style="102" customWidth="1"/>
    <col min="7" max="9" width="8.7109375" style="60" customWidth="1"/>
    <col min="10" max="10" width="8.7109375" style="68" customWidth="1"/>
    <col min="11" max="12" width="8.7109375" style="60" customWidth="1"/>
    <col min="13" max="17" width="12.7109375" style="60" customWidth="1"/>
    <col min="18" max="16384" width="9.140625" style="60"/>
  </cols>
  <sheetData>
    <row r="1" spans="1:17" s="59" customFormat="1" ht="15.75">
      <c r="A1" s="909" t="s">
        <v>66</v>
      </c>
      <c r="B1" s="909"/>
      <c r="C1" s="909"/>
      <c r="D1" s="909"/>
      <c r="E1" s="909"/>
      <c r="F1" s="909"/>
      <c r="G1" s="909"/>
      <c r="H1" s="909"/>
      <c r="I1" s="909"/>
      <c r="J1" s="909"/>
      <c r="K1" s="909"/>
      <c r="L1" s="909"/>
      <c r="M1" s="909"/>
      <c r="N1" s="909"/>
      <c r="O1" s="909"/>
      <c r="P1" s="909"/>
      <c r="Q1" s="909"/>
    </row>
    <row r="2" spans="1:17" s="59" customFormat="1" ht="15.75">
      <c r="A2" s="899" t="s">
        <v>688</v>
      </c>
      <c r="B2" s="899"/>
      <c r="C2" s="899"/>
      <c r="D2" s="899"/>
      <c r="E2" s="899"/>
      <c r="F2" s="899"/>
      <c r="G2" s="899"/>
      <c r="H2" s="899"/>
      <c r="I2" s="899"/>
      <c r="J2" s="899"/>
      <c r="K2" s="899"/>
      <c r="L2" s="899"/>
      <c r="M2" s="899"/>
      <c r="N2" s="899"/>
      <c r="O2" s="899"/>
      <c r="P2" s="899"/>
      <c r="Q2" s="899"/>
    </row>
    <row r="3" spans="1:17" s="59" customFormat="1" ht="15.75">
      <c r="A3" s="876" t="s">
        <v>10</v>
      </c>
      <c r="B3" s="876"/>
      <c r="C3" s="859" t="s">
        <v>117</v>
      </c>
      <c r="D3" s="859"/>
      <c r="E3" s="859"/>
      <c r="F3" s="859"/>
      <c r="G3" s="859"/>
      <c r="H3" s="859"/>
      <c r="I3" s="859"/>
      <c r="J3" s="859"/>
      <c r="K3" s="859"/>
      <c r="L3" s="859"/>
      <c r="M3" s="859"/>
      <c r="N3" s="859"/>
      <c r="O3" s="859"/>
      <c r="P3" s="859"/>
      <c r="Q3" s="859"/>
    </row>
    <row r="4" spans="1:17" s="59" customFormat="1" ht="15.75">
      <c r="A4" s="876" t="s">
        <v>11</v>
      </c>
      <c r="B4" s="876"/>
      <c r="C4" s="859" t="s">
        <v>118</v>
      </c>
      <c r="D4" s="859"/>
      <c r="E4" s="859"/>
      <c r="F4" s="859"/>
      <c r="G4" s="859"/>
      <c r="H4" s="859"/>
      <c r="I4" s="859"/>
      <c r="J4" s="859"/>
      <c r="K4" s="859"/>
      <c r="L4" s="859"/>
      <c r="M4" s="859"/>
      <c r="N4" s="859"/>
      <c r="O4" s="859"/>
      <c r="P4" s="859"/>
      <c r="Q4" s="859"/>
    </row>
    <row r="5" spans="1:17" s="59" customFormat="1" ht="15.75">
      <c r="A5" s="876" t="s">
        <v>12</v>
      </c>
      <c r="B5" s="876"/>
      <c r="C5" s="859" t="s">
        <v>50</v>
      </c>
      <c r="D5" s="859"/>
      <c r="E5" s="859"/>
      <c r="F5" s="859"/>
      <c r="G5" s="859"/>
      <c r="H5" s="859"/>
      <c r="I5" s="859"/>
      <c r="J5" s="859"/>
      <c r="K5" s="859"/>
      <c r="L5" s="859"/>
      <c r="M5" s="859"/>
      <c r="N5" s="859"/>
      <c r="O5" s="859"/>
      <c r="P5" s="859"/>
      <c r="Q5" s="859"/>
    </row>
    <row r="6" spans="1:17" s="59" customFormat="1" ht="15.75">
      <c r="A6" s="876" t="s">
        <v>30</v>
      </c>
      <c r="B6" s="876"/>
      <c r="C6" s="874"/>
      <c r="D6" s="874"/>
      <c r="E6" s="874"/>
      <c r="F6" s="874"/>
      <c r="G6" s="874"/>
      <c r="H6" s="874"/>
      <c r="I6" s="874"/>
      <c r="J6" s="874"/>
      <c r="K6" s="874"/>
      <c r="L6" s="874"/>
      <c r="M6" s="874"/>
      <c r="N6" s="874"/>
      <c r="O6" s="874"/>
      <c r="P6" s="874"/>
      <c r="Q6" s="874"/>
    </row>
    <row r="7" spans="1:17" s="59" customFormat="1" ht="15.75">
      <c r="A7" s="876" t="s">
        <v>54</v>
      </c>
      <c r="B7" s="876"/>
      <c r="C7" s="873"/>
      <c r="D7" s="873"/>
      <c r="E7" s="873"/>
      <c r="F7" s="873"/>
      <c r="G7" s="873"/>
      <c r="H7" s="873"/>
      <c r="I7" s="873"/>
      <c r="J7" s="873"/>
      <c r="K7" s="873"/>
      <c r="L7" s="873"/>
      <c r="M7" s="873"/>
      <c r="N7" s="873"/>
      <c r="O7" s="873"/>
      <c r="P7" s="873"/>
      <c r="Q7" s="873"/>
    </row>
    <row r="8" spans="1:17" s="59" customFormat="1" ht="15.75">
      <c r="A8" s="73"/>
      <c r="B8" s="73"/>
      <c r="C8" s="73"/>
      <c r="D8" s="73"/>
      <c r="E8" s="73"/>
      <c r="F8" s="104"/>
      <c r="G8" s="73"/>
      <c r="H8" s="73"/>
      <c r="I8" s="73"/>
      <c r="J8" s="73"/>
      <c r="K8" s="73"/>
      <c r="L8" s="73"/>
      <c r="M8" s="66"/>
      <c r="N8" s="66"/>
      <c r="O8" s="74"/>
      <c r="P8" s="63" t="s">
        <v>52</v>
      </c>
      <c r="Q8" s="75">
        <f>Q142</f>
        <v>0</v>
      </c>
    </row>
    <row r="9" spans="1:17" ht="15.75">
      <c r="A9" s="65"/>
      <c r="B9" s="65"/>
      <c r="C9" s="66"/>
      <c r="D9" s="66"/>
      <c r="E9" s="66"/>
      <c r="F9" s="110"/>
      <c r="G9" s="66"/>
      <c r="H9" s="66"/>
      <c r="I9" s="66"/>
      <c r="J9" s="66"/>
      <c r="K9" s="66"/>
      <c r="L9" s="66"/>
      <c r="M9" s="66"/>
      <c r="N9" s="66"/>
      <c r="O9" s="66"/>
      <c r="P9" s="66"/>
      <c r="Q9" s="66"/>
    </row>
    <row r="10" spans="1:17" ht="14.25" customHeight="1">
      <c r="A10" s="893" t="s">
        <v>14</v>
      </c>
      <c r="B10" s="894" t="s">
        <v>21</v>
      </c>
      <c r="C10" s="896" t="s">
        <v>22</v>
      </c>
      <c r="D10" s="922" t="s">
        <v>1776</v>
      </c>
      <c r="E10" s="897" t="s">
        <v>23</v>
      </c>
      <c r="F10" s="898" t="s">
        <v>24</v>
      </c>
      <c r="G10" s="892" t="s">
        <v>25</v>
      </c>
      <c r="H10" s="892"/>
      <c r="I10" s="892"/>
      <c r="J10" s="892"/>
      <c r="K10" s="892"/>
      <c r="L10" s="892"/>
      <c r="M10" s="892" t="s">
        <v>26</v>
      </c>
      <c r="N10" s="892"/>
      <c r="O10" s="892"/>
      <c r="P10" s="892"/>
      <c r="Q10" s="892"/>
    </row>
    <row r="11" spans="1:17" ht="73.5" customHeight="1">
      <c r="A11" s="893"/>
      <c r="B11" s="895"/>
      <c r="C11" s="896"/>
      <c r="D11" s="923"/>
      <c r="E11" s="897"/>
      <c r="F11" s="898"/>
      <c r="G11" s="309" t="s">
        <v>27</v>
      </c>
      <c r="H11" s="309" t="s">
        <v>37</v>
      </c>
      <c r="I11" s="309" t="s">
        <v>38</v>
      </c>
      <c r="J11" s="309" t="s">
        <v>39</v>
      </c>
      <c r="K11" s="309" t="s">
        <v>40</v>
      </c>
      <c r="L11" s="309" t="s">
        <v>41</v>
      </c>
      <c r="M11" s="309" t="s">
        <v>18</v>
      </c>
      <c r="N11" s="309" t="s">
        <v>38</v>
      </c>
      <c r="O11" s="309" t="s">
        <v>39</v>
      </c>
      <c r="P11" s="309" t="s">
        <v>40</v>
      </c>
      <c r="Q11" s="309" t="s">
        <v>42</v>
      </c>
    </row>
    <row r="12" spans="1:17">
      <c r="A12" s="115">
        <v>1</v>
      </c>
      <c r="B12" s="115">
        <v>2</v>
      </c>
      <c r="C12" s="115">
        <v>3</v>
      </c>
      <c r="D12" s="115"/>
      <c r="E12" s="115">
        <v>4</v>
      </c>
      <c r="F12" s="622">
        <v>5</v>
      </c>
      <c r="G12" s="115">
        <v>6</v>
      </c>
      <c r="H12" s="115">
        <v>7</v>
      </c>
      <c r="I12" s="115">
        <v>8</v>
      </c>
      <c r="J12" s="115">
        <v>9</v>
      </c>
      <c r="K12" s="115">
        <v>10</v>
      </c>
      <c r="L12" s="115">
        <v>11</v>
      </c>
      <c r="M12" s="115">
        <v>12</v>
      </c>
      <c r="N12" s="115">
        <v>13</v>
      </c>
      <c r="O12" s="115">
        <v>14</v>
      </c>
      <c r="P12" s="115">
        <v>15</v>
      </c>
      <c r="Q12" s="115">
        <v>16</v>
      </c>
    </row>
    <row r="13" spans="1:17" s="68" customFormat="1">
      <c r="A13" s="370"/>
      <c r="B13" s="370"/>
      <c r="C13" s="584" t="s">
        <v>1189</v>
      </c>
      <c r="D13" s="584"/>
      <c r="E13" s="585"/>
      <c r="F13" s="619"/>
      <c r="G13" s="585"/>
      <c r="H13" s="135"/>
      <c r="I13" s="135"/>
      <c r="J13" s="135"/>
      <c r="K13" s="223"/>
      <c r="L13" s="135"/>
      <c r="M13" s="135"/>
      <c r="N13" s="135"/>
      <c r="O13" s="135"/>
      <c r="P13" s="135"/>
      <c r="Q13" s="135"/>
    </row>
    <row r="14" spans="1:17" s="68" customFormat="1">
      <c r="A14" s="385">
        <f>A13+1</f>
        <v>1</v>
      </c>
      <c r="B14" s="385" t="s">
        <v>149</v>
      </c>
      <c r="C14" s="586" t="s">
        <v>1190</v>
      </c>
      <c r="D14" s="587" t="s">
        <v>975</v>
      </c>
      <c r="E14" s="587" t="s">
        <v>77</v>
      </c>
      <c r="F14" s="433">
        <v>11</v>
      </c>
      <c r="G14" s="587"/>
      <c r="H14" s="146"/>
      <c r="I14" s="146"/>
      <c r="J14" s="146"/>
      <c r="K14" s="163"/>
      <c r="L14" s="146"/>
      <c r="M14" s="146"/>
      <c r="N14" s="146"/>
      <c r="O14" s="146"/>
      <c r="P14" s="146"/>
      <c r="Q14" s="146"/>
    </row>
    <row r="15" spans="1:17" s="68" customFormat="1">
      <c r="A15" s="348">
        <f t="shared" ref="A15:A76" si="0">A14+1</f>
        <v>2</v>
      </c>
      <c r="B15" s="348" t="s">
        <v>149</v>
      </c>
      <c r="C15" s="588" t="s">
        <v>1191</v>
      </c>
      <c r="D15" s="589" t="s">
        <v>1192</v>
      </c>
      <c r="E15" s="590" t="s">
        <v>77</v>
      </c>
      <c r="F15" s="354">
        <v>30</v>
      </c>
      <c r="G15" s="483"/>
      <c r="H15" s="145"/>
      <c r="I15" s="145"/>
      <c r="J15" s="145"/>
      <c r="K15" s="156"/>
      <c r="L15" s="145"/>
      <c r="M15" s="145"/>
      <c r="N15" s="145"/>
      <c r="O15" s="145"/>
      <c r="P15" s="145"/>
      <c r="Q15" s="145"/>
    </row>
    <row r="16" spans="1:17" s="68" customFormat="1">
      <c r="A16" s="348">
        <f t="shared" si="0"/>
        <v>3</v>
      </c>
      <c r="B16" s="348" t="s">
        <v>149</v>
      </c>
      <c r="C16" s="588" t="s">
        <v>1193</v>
      </c>
      <c r="D16" s="589" t="s">
        <v>1194</v>
      </c>
      <c r="E16" s="590" t="s">
        <v>77</v>
      </c>
      <c r="F16" s="354">
        <v>5</v>
      </c>
      <c r="G16" s="483"/>
      <c r="H16" s="145"/>
      <c r="I16" s="145"/>
      <c r="J16" s="145"/>
      <c r="K16" s="156"/>
      <c r="L16" s="145"/>
      <c r="M16" s="145"/>
      <c r="N16" s="145"/>
      <c r="O16" s="145"/>
      <c r="P16" s="145"/>
      <c r="Q16" s="145"/>
    </row>
    <row r="17" spans="1:17" s="68" customFormat="1">
      <c r="A17" s="348">
        <f t="shared" si="0"/>
        <v>4</v>
      </c>
      <c r="B17" s="348" t="s">
        <v>149</v>
      </c>
      <c r="C17" s="588" t="s">
        <v>1195</v>
      </c>
      <c r="D17" s="589" t="s">
        <v>1196</v>
      </c>
      <c r="E17" s="590" t="s">
        <v>77</v>
      </c>
      <c r="F17" s="354">
        <v>47</v>
      </c>
      <c r="G17" s="483"/>
      <c r="H17" s="145"/>
      <c r="I17" s="145"/>
      <c r="J17" s="145"/>
      <c r="K17" s="156"/>
      <c r="L17" s="145"/>
      <c r="M17" s="145"/>
      <c r="N17" s="145"/>
      <c r="O17" s="145"/>
      <c r="P17" s="145"/>
      <c r="Q17" s="145"/>
    </row>
    <row r="18" spans="1:17" s="68" customFormat="1">
      <c r="A18" s="348">
        <f t="shared" si="0"/>
        <v>5</v>
      </c>
      <c r="B18" s="348" t="s">
        <v>149</v>
      </c>
      <c r="C18" s="588" t="s">
        <v>1197</v>
      </c>
      <c r="D18" s="589" t="s">
        <v>1198</v>
      </c>
      <c r="E18" s="590" t="s">
        <v>77</v>
      </c>
      <c r="F18" s="354">
        <v>80</v>
      </c>
      <c r="G18" s="483"/>
      <c r="H18" s="145"/>
      <c r="I18" s="145"/>
      <c r="J18" s="145"/>
      <c r="K18" s="156"/>
      <c r="L18" s="145"/>
      <c r="M18" s="145"/>
      <c r="N18" s="145"/>
      <c r="O18" s="145"/>
      <c r="P18" s="145"/>
      <c r="Q18" s="145"/>
    </row>
    <row r="19" spans="1:17" s="68" customFormat="1">
      <c r="A19" s="348">
        <f t="shared" si="0"/>
        <v>6</v>
      </c>
      <c r="B19" s="348" t="s">
        <v>149</v>
      </c>
      <c r="C19" s="588" t="s">
        <v>1199</v>
      </c>
      <c r="D19" s="589" t="s">
        <v>1200</v>
      </c>
      <c r="E19" s="590" t="s">
        <v>77</v>
      </c>
      <c r="F19" s="354">
        <v>325</v>
      </c>
      <c r="G19" s="483"/>
      <c r="H19" s="145"/>
      <c r="I19" s="145"/>
      <c r="J19" s="145"/>
      <c r="K19" s="156"/>
      <c r="L19" s="145"/>
      <c r="M19" s="145"/>
      <c r="N19" s="145"/>
      <c r="O19" s="145"/>
      <c r="P19" s="145"/>
      <c r="Q19" s="145"/>
    </row>
    <row r="20" spans="1:17" s="68" customFormat="1">
      <c r="A20" s="348">
        <f t="shared" si="0"/>
        <v>7</v>
      </c>
      <c r="B20" s="348" t="s">
        <v>149</v>
      </c>
      <c r="C20" s="588" t="s">
        <v>1201</v>
      </c>
      <c r="D20" s="589"/>
      <c r="E20" s="590" t="s">
        <v>90</v>
      </c>
      <c r="F20" s="354">
        <v>1</v>
      </c>
      <c r="G20" s="435"/>
      <c r="H20" s="145"/>
      <c r="I20" s="145"/>
      <c r="J20" s="145"/>
      <c r="K20" s="156"/>
      <c r="L20" s="145"/>
      <c r="M20" s="145"/>
      <c r="N20" s="145"/>
      <c r="O20" s="145"/>
      <c r="P20" s="145"/>
      <c r="Q20" s="145"/>
    </row>
    <row r="21" spans="1:17" s="68" customFormat="1">
      <c r="A21" s="348">
        <f t="shared" si="0"/>
        <v>8</v>
      </c>
      <c r="B21" s="348" t="s">
        <v>149</v>
      </c>
      <c r="C21" s="591" t="s">
        <v>1202</v>
      </c>
      <c r="D21" s="590"/>
      <c r="E21" s="590" t="s">
        <v>77</v>
      </c>
      <c r="F21" s="379">
        <v>11</v>
      </c>
      <c r="G21" s="559"/>
      <c r="H21" s="145"/>
      <c r="I21" s="145"/>
      <c r="J21" s="145"/>
      <c r="K21" s="156"/>
      <c r="L21" s="145"/>
      <c r="M21" s="145"/>
      <c r="N21" s="145"/>
      <c r="O21" s="145"/>
      <c r="P21" s="145"/>
      <c r="Q21" s="145"/>
    </row>
    <row r="22" spans="1:17" s="68" customFormat="1">
      <c r="A22" s="348">
        <f t="shared" si="0"/>
        <v>9</v>
      </c>
      <c r="B22" s="348" t="s">
        <v>149</v>
      </c>
      <c r="C22" s="591" t="s">
        <v>1203</v>
      </c>
      <c r="D22" s="590"/>
      <c r="E22" s="590" t="s">
        <v>77</v>
      </c>
      <c r="F22" s="379">
        <v>30</v>
      </c>
      <c r="G22" s="559"/>
      <c r="H22" s="145"/>
      <c r="I22" s="145"/>
      <c r="J22" s="145"/>
      <c r="K22" s="156"/>
      <c r="L22" s="145"/>
      <c r="M22" s="145"/>
      <c r="N22" s="145"/>
      <c r="O22" s="145"/>
      <c r="P22" s="145"/>
      <c r="Q22" s="145"/>
    </row>
    <row r="23" spans="1:17" s="68" customFormat="1">
      <c r="A23" s="348">
        <f t="shared" si="0"/>
        <v>10</v>
      </c>
      <c r="B23" s="348" t="s">
        <v>149</v>
      </c>
      <c r="C23" s="591" t="s">
        <v>1204</v>
      </c>
      <c r="D23" s="590"/>
      <c r="E23" s="590" t="s">
        <v>77</v>
      </c>
      <c r="F23" s="379">
        <v>5</v>
      </c>
      <c r="G23" s="559"/>
      <c r="H23" s="145"/>
      <c r="I23" s="145"/>
      <c r="J23" s="145"/>
      <c r="K23" s="156"/>
      <c r="L23" s="145"/>
      <c r="M23" s="145"/>
      <c r="N23" s="145"/>
      <c r="O23" s="145"/>
      <c r="P23" s="145"/>
      <c r="Q23" s="145"/>
    </row>
    <row r="24" spans="1:17" s="68" customFormat="1">
      <c r="A24" s="348">
        <f t="shared" si="0"/>
        <v>11</v>
      </c>
      <c r="B24" s="348" t="s">
        <v>149</v>
      </c>
      <c r="C24" s="591" t="s">
        <v>1205</v>
      </c>
      <c r="D24" s="590"/>
      <c r="E24" s="590" t="s">
        <v>77</v>
      </c>
      <c r="F24" s="379">
        <v>47</v>
      </c>
      <c r="G24" s="559"/>
      <c r="H24" s="145"/>
      <c r="I24" s="145"/>
      <c r="J24" s="145"/>
      <c r="K24" s="156"/>
      <c r="L24" s="145"/>
      <c r="M24" s="145"/>
      <c r="N24" s="145"/>
      <c r="O24" s="145"/>
      <c r="P24" s="145"/>
      <c r="Q24" s="145"/>
    </row>
    <row r="25" spans="1:17" s="68" customFormat="1">
      <c r="A25" s="348">
        <f t="shared" si="0"/>
        <v>12</v>
      </c>
      <c r="B25" s="348" t="s">
        <v>149</v>
      </c>
      <c r="C25" s="591" t="s">
        <v>1206</v>
      </c>
      <c r="D25" s="590"/>
      <c r="E25" s="590" t="s">
        <v>77</v>
      </c>
      <c r="F25" s="379">
        <v>80</v>
      </c>
      <c r="G25" s="559"/>
      <c r="H25" s="145"/>
      <c r="I25" s="145"/>
      <c r="J25" s="145"/>
      <c r="K25" s="156"/>
      <c r="L25" s="145"/>
      <c r="M25" s="145"/>
      <c r="N25" s="145"/>
      <c r="O25" s="145"/>
      <c r="P25" s="145"/>
      <c r="Q25" s="145"/>
    </row>
    <row r="26" spans="1:17" s="68" customFormat="1">
      <c r="A26" s="348">
        <f t="shared" si="0"/>
        <v>13</v>
      </c>
      <c r="B26" s="348" t="s">
        <v>149</v>
      </c>
      <c r="C26" s="591" t="s">
        <v>1207</v>
      </c>
      <c r="D26" s="590"/>
      <c r="E26" s="590" t="s">
        <v>77</v>
      </c>
      <c r="F26" s="379">
        <f>F19</f>
        <v>325</v>
      </c>
      <c r="G26" s="559"/>
      <c r="H26" s="145"/>
      <c r="I26" s="145"/>
      <c r="J26" s="145"/>
      <c r="K26" s="156"/>
      <c r="L26" s="145"/>
      <c r="M26" s="145"/>
      <c r="N26" s="145"/>
      <c r="O26" s="145"/>
      <c r="P26" s="145"/>
      <c r="Q26" s="145"/>
    </row>
    <row r="27" spans="1:17" s="68" customFormat="1">
      <c r="A27" s="348">
        <f t="shared" si="0"/>
        <v>14</v>
      </c>
      <c r="B27" s="348" t="s">
        <v>149</v>
      </c>
      <c r="C27" s="588" t="s">
        <v>1208</v>
      </c>
      <c r="D27" s="589" t="s">
        <v>1192</v>
      </c>
      <c r="E27" s="590" t="s">
        <v>93</v>
      </c>
      <c r="F27" s="354">
        <v>2</v>
      </c>
      <c r="G27" s="435"/>
      <c r="H27" s="145"/>
      <c r="I27" s="145"/>
      <c r="J27" s="145"/>
      <c r="K27" s="156"/>
      <c r="L27" s="145"/>
      <c r="M27" s="145"/>
      <c r="N27" s="145"/>
      <c r="O27" s="145"/>
      <c r="P27" s="145"/>
      <c r="Q27" s="145"/>
    </row>
    <row r="28" spans="1:17" s="68" customFormat="1">
      <c r="A28" s="348">
        <f t="shared" si="0"/>
        <v>15</v>
      </c>
      <c r="B28" s="348" t="s">
        <v>149</v>
      </c>
      <c r="C28" s="588" t="s">
        <v>1208</v>
      </c>
      <c r="D28" s="589" t="s">
        <v>1196</v>
      </c>
      <c r="E28" s="590" t="s">
        <v>93</v>
      </c>
      <c r="F28" s="354">
        <v>4</v>
      </c>
      <c r="G28" s="435"/>
      <c r="H28" s="145"/>
      <c r="I28" s="145"/>
      <c r="J28" s="145"/>
      <c r="K28" s="156"/>
      <c r="L28" s="145"/>
      <c r="M28" s="145"/>
      <c r="N28" s="145"/>
      <c r="O28" s="145"/>
      <c r="P28" s="145"/>
      <c r="Q28" s="145"/>
    </row>
    <row r="29" spans="1:17" s="68" customFormat="1">
      <c r="A29" s="348">
        <f t="shared" si="0"/>
        <v>16</v>
      </c>
      <c r="B29" s="348" t="s">
        <v>149</v>
      </c>
      <c r="C29" s="588" t="s">
        <v>1208</v>
      </c>
      <c r="D29" s="589" t="s">
        <v>1198</v>
      </c>
      <c r="E29" s="590" t="s">
        <v>93</v>
      </c>
      <c r="F29" s="354">
        <v>6</v>
      </c>
      <c r="G29" s="435"/>
      <c r="H29" s="145"/>
      <c r="I29" s="145"/>
      <c r="J29" s="145"/>
      <c r="K29" s="156"/>
      <c r="L29" s="145"/>
      <c r="M29" s="145"/>
      <c r="N29" s="145"/>
      <c r="O29" s="145"/>
      <c r="P29" s="145"/>
      <c r="Q29" s="145"/>
    </row>
    <row r="30" spans="1:17" s="68" customFormat="1">
      <c r="A30" s="348">
        <f t="shared" si="0"/>
        <v>17</v>
      </c>
      <c r="B30" s="348" t="s">
        <v>149</v>
      </c>
      <c r="C30" s="588" t="s">
        <v>1209</v>
      </c>
      <c r="D30" s="589" t="s">
        <v>1200</v>
      </c>
      <c r="E30" s="590" t="s">
        <v>93</v>
      </c>
      <c r="F30" s="354">
        <v>40</v>
      </c>
      <c r="G30" s="435"/>
      <c r="H30" s="145"/>
      <c r="I30" s="145"/>
      <c r="J30" s="145"/>
      <c r="K30" s="156"/>
      <c r="L30" s="145"/>
      <c r="M30" s="145"/>
      <c r="N30" s="145"/>
      <c r="O30" s="145"/>
      <c r="P30" s="145"/>
      <c r="Q30" s="145"/>
    </row>
    <row r="31" spans="1:17" s="68" customFormat="1" ht="24">
      <c r="A31" s="348">
        <f t="shared" si="0"/>
        <v>18</v>
      </c>
      <c r="B31" s="348" t="s">
        <v>149</v>
      </c>
      <c r="C31" s="588" t="s">
        <v>1210</v>
      </c>
      <c r="D31" s="589" t="s">
        <v>1198</v>
      </c>
      <c r="E31" s="590" t="s">
        <v>93</v>
      </c>
      <c r="F31" s="354">
        <v>2</v>
      </c>
      <c r="G31" s="435"/>
      <c r="H31" s="145"/>
      <c r="I31" s="145"/>
      <c r="J31" s="145"/>
      <c r="K31" s="156"/>
      <c r="L31" s="145"/>
      <c r="M31" s="145"/>
      <c r="N31" s="145"/>
      <c r="O31" s="145"/>
      <c r="P31" s="145"/>
      <c r="Q31" s="145"/>
    </row>
    <row r="32" spans="1:17" s="68" customFormat="1" ht="24">
      <c r="A32" s="348">
        <f t="shared" si="0"/>
        <v>19</v>
      </c>
      <c r="B32" s="348" t="s">
        <v>149</v>
      </c>
      <c r="C32" s="588" t="s">
        <v>1211</v>
      </c>
      <c r="D32" s="589"/>
      <c r="E32" s="590" t="s">
        <v>1212</v>
      </c>
      <c r="F32" s="354">
        <v>1</v>
      </c>
      <c r="G32" s="435"/>
      <c r="H32" s="145"/>
      <c r="I32" s="145"/>
      <c r="J32" s="145"/>
      <c r="K32" s="156"/>
      <c r="L32" s="145"/>
      <c r="M32" s="145"/>
      <c r="N32" s="145"/>
      <c r="O32" s="145"/>
      <c r="P32" s="145"/>
      <c r="Q32" s="145"/>
    </row>
    <row r="33" spans="1:17" s="68" customFormat="1">
      <c r="A33" s="348">
        <f t="shared" si="0"/>
        <v>20</v>
      </c>
      <c r="B33" s="348" t="s">
        <v>149</v>
      </c>
      <c r="C33" s="588" t="s">
        <v>1213</v>
      </c>
      <c r="D33" s="589" t="s">
        <v>975</v>
      </c>
      <c r="E33" s="590" t="s">
        <v>77</v>
      </c>
      <c r="F33" s="354">
        <v>27</v>
      </c>
      <c r="G33" s="435"/>
      <c r="H33" s="145"/>
      <c r="I33" s="145"/>
      <c r="J33" s="145"/>
      <c r="K33" s="156"/>
      <c r="L33" s="145"/>
      <c r="M33" s="145"/>
      <c r="N33" s="145"/>
      <c r="O33" s="145"/>
      <c r="P33" s="145"/>
      <c r="Q33" s="145"/>
    </row>
    <row r="34" spans="1:17" s="68" customFormat="1">
      <c r="A34" s="348">
        <f t="shared" si="0"/>
        <v>21</v>
      </c>
      <c r="B34" s="348" t="s">
        <v>149</v>
      </c>
      <c r="C34" s="588" t="s">
        <v>1214</v>
      </c>
      <c r="D34" s="589" t="s">
        <v>1194</v>
      </c>
      <c r="E34" s="590" t="s">
        <v>77</v>
      </c>
      <c r="F34" s="354">
        <v>2</v>
      </c>
      <c r="G34" s="435"/>
      <c r="H34" s="145"/>
      <c r="I34" s="145"/>
      <c r="J34" s="145"/>
      <c r="K34" s="156"/>
      <c r="L34" s="145"/>
      <c r="M34" s="145"/>
      <c r="N34" s="145"/>
      <c r="O34" s="145"/>
      <c r="P34" s="145"/>
      <c r="Q34" s="145"/>
    </row>
    <row r="35" spans="1:17" s="68" customFormat="1">
      <c r="A35" s="348">
        <f t="shared" si="0"/>
        <v>22</v>
      </c>
      <c r="B35" s="348" t="s">
        <v>149</v>
      </c>
      <c r="C35" s="588" t="s">
        <v>1215</v>
      </c>
      <c r="D35" s="589"/>
      <c r="E35" s="590" t="s">
        <v>90</v>
      </c>
      <c r="F35" s="354">
        <v>1</v>
      </c>
      <c r="G35" s="435"/>
      <c r="H35" s="145"/>
      <c r="I35" s="145"/>
      <c r="J35" s="145"/>
      <c r="K35" s="156"/>
      <c r="L35" s="145"/>
      <c r="M35" s="145"/>
      <c r="N35" s="145"/>
      <c r="O35" s="145"/>
      <c r="P35" s="145"/>
      <c r="Q35" s="145"/>
    </row>
    <row r="36" spans="1:17" s="68" customFormat="1" ht="24">
      <c r="A36" s="348">
        <f t="shared" si="0"/>
        <v>23</v>
      </c>
      <c r="B36" s="348" t="s">
        <v>149</v>
      </c>
      <c r="C36" s="588" t="s">
        <v>1216</v>
      </c>
      <c r="D36" s="590"/>
      <c r="E36" s="590" t="s">
        <v>90</v>
      </c>
      <c r="F36" s="354">
        <v>1</v>
      </c>
      <c r="G36" s="435"/>
      <c r="H36" s="145"/>
      <c r="I36" s="145"/>
      <c r="J36" s="145"/>
      <c r="K36" s="156"/>
      <c r="L36" s="145"/>
      <c r="M36" s="145"/>
      <c r="N36" s="145"/>
      <c r="O36" s="145"/>
      <c r="P36" s="145"/>
      <c r="Q36" s="145"/>
    </row>
    <row r="37" spans="1:17" s="68" customFormat="1">
      <c r="A37" s="348">
        <f t="shared" si="0"/>
        <v>24</v>
      </c>
      <c r="B37" s="348" t="s">
        <v>149</v>
      </c>
      <c r="C37" s="588" t="s">
        <v>1217</v>
      </c>
      <c r="D37" s="589"/>
      <c r="E37" s="590" t="s">
        <v>90</v>
      </c>
      <c r="F37" s="354">
        <v>487</v>
      </c>
      <c r="G37" s="435"/>
      <c r="H37" s="145"/>
      <c r="I37" s="145"/>
      <c r="J37" s="145"/>
      <c r="K37" s="156"/>
      <c r="L37" s="145"/>
      <c r="M37" s="145"/>
      <c r="N37" s="145"/>
      <c r="O37" s="145"/>
      <c r="P37" s="145"/>
      <c r="Q37" s="145"/>
    </row>
    <row r="38" spans="1:17" s="68" customFormat="1">
      <c r="A38" s="380">
        <f t="shared" si="0"/>
        <v>25</v>
      </c>
      <c r="B38" s="380" t="s">
        <v>149</v>
      </c>
      <c r="C38" s="592" t="s">
        <v>1218</v>
      </c>
      <c r="D38" s="593"/>
      <c r="E38" s="594" t="s">
        <v>90</v>
      </c>
      <c r="F38" s="441">
        <v>1</v>
      </c>
      <c r="G38" s="485"/>
      <c r="H38" s="150"/>
      <c r="I38" s="150"/>
      <c r="J38" s="150"/>
      <c r="K38" s="160"/>
      <c r="L38" s="150"/>
      <c r="M38" s="150"/>
      <c r="N38" s="150"/>
      <c r="O38" s="150"/>
      <c r="P38" s="150"/>
      <c r="Q38" s="150"/>
    </row>
    <row r="39" spans="1:17" s="68" customFormat="1">
      <c r="A39" s="370"/>
      <c r="B39" s="370"/>
      <c r="C39" s="584" t="s">
        <v>1219</v>
      </c>
      <c r="D39" s="585"/>
      <c r="E39" s="585"/>
      <c r="F39" s="619"/>
      <c r="G39" s="585"/>
      <c r="H39" s="135"/>
      <c r="I39" s="135"/>
      <c r="J39" s="135"/>
      <c r="K39" s="223"/>
      <c r="L39" s="135"/>
      <c r="M39" s="135"/>
      <c r="N39" s="135"/>
      <c r="O39" s="135"/>
      <c r="P39" s="135"/>
      <c r="Q39" s="135"/>
    </row>
    <row r="40" spans="1:17" s="68" customFormat="1" ht="24">
      <c r="A40" s="385">
        <v>26</v>
      </c>
      <c r="B40" s="385" t="s">
        <v>149</v>
      </c>
      <c r="C40" s="586" t="s">
        <v>1220</v>
      </c>
      <c r="D40" s="595"/>
      <c r="E40" s="587" t="s">
        <v>93</v>
      </c>
      <c r="F40" s="433">
        <v>2</v>
      </c>
      <c r="G40" s="572"/>
      <c r="H40" s="146"/>
      <c r="I40" s="146"/>
      <c r="J40" s="146"/>
      <c r="K40" s="163"/>
      <c r="L40" s="146"/>
      <c r="M40" s="146"/>
      <c r="N40" s="146"/>
      <c r="O40" s="146"/>
      <c r="P40" s="146"/>
      <c r="Q40" s="146"/>
    </row>
    <row r="41" spans="1:17" s="68" customFormat="1">
      <c r="A41" s="348">
        <f t="shared" si="0"/>
        <v>27</v>
      </c>
      <c r="B41" s="348" t="s">
        <v>149</v>
      </c>
      <c r="C41" s="588" t="s">
        <v>1221</v>
      </c>
      <c r="D41" s="589"/>
      <c r="E41" s="590" t="s">
        <v>93</v>
      </c>
      <c r="F41" s="354">
        <v>2</v>
      </c>
      <c r="G41" s="435"/>
      <c r="H41" s="145"/>
      <c r="I41" s="145"/>
      <c r="J41" s="145"/>
      <c r="K41" s="156"/>
      <c r="L41" s="145"/>
      <c r="M41" s="145"/>
      <c r="N41" s="145"/>
      <c r="O41" s="145"/>
      <c r="P41" s="145"/>
      <c r="Q41" s="145"/>
    </row>
    <row r="42" spans="1:17" s="68" customFormat="1">
      <c r="A42" s="348">
        <f t="shared" si="0"/>
        <v>28</v>
      </c>
      <c r="B42" s="348" t="s">
        <v>149</v>
      </c>
      <c r="C42" s="588" t="s">
        <v>1222</v>
      </c>
      <c r="D42" s="589"/>
      <c r="E42" s="590" t="s">
        <v>93</v>
      </c>
      <c r="F42" s="354">
        <v>4</v>
      </c>
      <c r="G42" s="435"/>
      <c r="H42" s="145"/>
      <c r="I42" s="145"/>
      <c r="J42" s="145"/>
      <c r="K42" s="156"/>
      <c r="L42" s="145"/>
      <c r="M42" s="145"/>
      <c r="N42" s="145"/>
      <c r="O42" s="145"/>
      <c r="P42" s="145"/>
      <c r="Q42" s="145"/>
    </row>
    <row r="43" spans="1:17" s="68" customFormat="1">
      <c r="A43" s="348">
        <f t="shared" si="0"/>
        <v>29</v>
      </c>
      <c r="B43" s="348" t="s">
        <v>149</v>
      </c>
      <c r="C43" s="588" t="s">
        <v>1223</v>
      </c>
      <c r="D43" s="589"/>
      <c r="E43" s="590" t="s">
        <v>93</v>
      </c>
      <c r="F43" s="354">
        <v>2</v>
      </c>
      <c r="G43" s="435"/>
      <c r="H43" s="145"/>
      <c r="I43" s="145"/>
      <c r="J43" s="145"/>
      <c r="K43" s="156"/>
      <c r="L43" s="145"/>
      <c r="M43" s="145"/>
      <c r="N43" s="145"/>
      <c r="O43" s="145"/>
      <c r="P43" s="145"/>
      <c r="Q43" s="145"/>
    </row>
    <row r="44" spans="1:17" s="68" customFormat="1">
      <c r="A44" s="348">
        <f t="shared" si="0"/>
        <v>30</v>
      </c>
      <c r="B44" s="348" t="s">
        <v>149</v>
      </c>
      <c r="C44" s="588" t="s">
        <v>1224</v>
      </c>
      <c r="D44" s="589"/>
      <c r="E44" s="590" t="s">
        <v>93</v>
      </c>
      <c r="F44" s="354">
        <v>4</v>
      </c>
      <c r="G44" s="435"/>
      <c r="H44" s="145"/>
      <c r="I44" s="145"/>
      <c r="J44" s="145"/>
      <c r="K44" s="156"/>
      <c r="L44" s="145"/>
      <c r="M44" s="145"/>
      <c r="N44" s="145"/>
      <c r="O44" s="145"/>
      <c r="P44" s="145"/>
      <c r="Q44" s="145"/>
    </row>
    <row r="45" spans="1:17" s="68" customFormat="1">
      <c r="A45" s="348">
        <f t="shared" si="0"/>
        <v>31</v>
      </c>
      <c r="B45" s="348" t="s">
        <v>149</v>
      </c>
      <c r="C45" s="588" t="s">
        <v>1225</v>
      </c>
      <c r="D45" s="589"/>
      <c r="E45" s="590" t="s">
        <v>93</v>
      </c>
      <c r="F45" s="354">
        <v>2</v>
      </c>
      <c r="G45" s="435"/>
      <c r="H45" s="145"/>
      <c r="I45" s="145"/>
      <c r="J45" s="145"/>
      <c r="K45" s="156"/>
      <c r="L45" s="145"/>
      <c r="M45" s="145"/>
      <c r="N45" s="145"/>
      <c r="O45" s="145"/>
      <c r="P45" s="145"/>
      <c r="Q45" s="145"/>
    </row>
    <row r="46" spans="1:17" s="68" customFormat="1" ht="36">
      <c r="A46" s="348">
        <f t="shared" si="0"/>
        <v>32</v>
      </c>
      <c r="B46" s="348" t="s">
        <v>149</v>
      </c>
      <c r="C46" s="588" t="s">
        <v>1226</v>
      </c>
      <c r="D46" s="589" t="s">
        <v>1194</v>
      </c>
      <c r="E46" s="590" t="s">
        <v>93</v>
      </c>
      <c r="F46" s="354">
        <v>1</v>
      </c>
      <c r="G46" s="435"/>
      <c r="H46" s="145"/>
      <c r="I46" s="145"/>
      <c r="J46" s="145"/>
      <c r="K46" s="156"/>
      <c r="L46" s="145"/>
      <c r="M46" s="145"/>
      <c r="N46" s="145"/>
      <c r="O46" s="145"/>
      <c r="P46" s="145"/>
      <c r="Q46" s="145"/>
    </row>
    <row r="47" spans="1:17" s="68" customFormat="1">
      <c r="A47" s="348">
        <f t="shared" si="0"/>
        <v>33</v>
      </c>
      <c r="B47" s="348" t="s">
        <v>149</v>
      </c>
      <c r="C47" s="588" t="s">
        <v>1227</v>
      </c>
      <c r="D47" s="589"/>
      <c r="E47" s="590" t="s">
        <v>93</v>
      </c>
      <c r="F47" s="354">
        <v>1</v>
      </c>
      <c r="G47" s="435"/>
      <c r="H47" s="145"/>
      <c r="I47" s="145"/>
      <c r="J47" s="145"/>
      <c r="K47" s="156"/>
      <c r="L47" s="145"/>
      <c r="M47" s="145"/>
      <c r="N47" s="145"/>
      <c r="O47" s="145"/>
      <c r="P47" s="145"/>
      <c r="Q47" s="145"/>
    </row>
    <row r="48" spans="1:17" s="68" customFormat="1" ht="36">
      <c r="A48" s="348">
        <f t="shared" si="0"/>
        <v>34</v>
      </c>
      <c r="B48" s="348" t="s">
        <v>149</v>
      </c>
      <c r="C48" s="588" t="s">
        <v>1228</v>
      </c>
      <c r="D48" s="589"/>
      <c r="E48" s="590" t="s">
        <v>90</v>
      </c>
      <c r="F48" s="354">
        <v>1</v>
      </c>
      <c r="G48" s="435"/>
      <c r="H48" s="145"/>
      <c r="I48" s="145"/>
      <c r="J48" s="145"/>
      <c r="K48" s="156"/>
      <c r="L48" s="145"/>
      <c r="M48" s="145"/>
      <c r="N48" s="145"/>
      <c r="O48" s="145"/>
      <c r="P48" s="145"/>
      <c r="Q48" s="145"/>
    </row>
    <row r="49" spans="1:17" s="68" customFormat="1">
      <c r="A49" s="348">
        <f t="shared" si="0"/>
        <v>35</v>
      </c>
      <c r="B49" s="348" t="s">
        <v>149</v>
      </c>
      <c r="C49" s="588" t="s">
        <v>1229</v>
      </c>
      <c r="D49" s="589"/>
      <c r="E49" s="590" t="s">
        <v>93</v>
      </c>
      <c r="F49" s="354">
        <v>1</v>
      </c>
      <c r="G49" s="435"/>
      <c r="H49" s="145"/>
      <c r="I49" s="145"/>
      <c r="J49" s="145"/>
      <c r="K49" s="156"/>
      <c r="L49" s="145"/>
      <c r="M49" s="145"/>
      <c r="N49" s="145"/>
      <c r="O49" s="145"/>
      <c r="P49" s="145"/>
      <c r="Q49" s="145"/>
    </row>
    <row r="50" spans="1:17" s="68" customFormat="1" ht="24">
      <c r="A50" s="380">
        <f t="shared" si="0"/>
        <v>36</v>
      </c>
      <c r="B50" s="380" t="s">
        <v>149</v>
      </c>
      <c r="C50" s="592" t="s">
        <v>1230</v>
      </c>
      <c r="D50" s="593"/>
      <c r="E50" s="594" t="s">
        <v>93</v>
      </c>
      <c r="F50" s="441">
        <v>1</v>
      </c>
      <c r="G50" s="485"/>
      <c r="H50" s="150"/>
      <c r="I50" s="150"/>
      <c r="J50" s="150"/>
      <c r="K50" s="160"/>
      <c r="L50" s="150"/>
      <c r="M50" s="150"/>
      <c r="N50" s="150"/>
      <c r="O50" s="150"/>
      <c r="P50" s="150"/>
      <c r="Q50" s="150"/>
    </row>
    <row r="51" spans="1:17" s="68" customFormat="1">
      <c r="A51" s="370"/>
      <c r="B51" s="370"/>
      <c r="C51" s="596" t="s">
        <v>1231</v>
      </c>
      <c r="D51" s="597"/>
      <c r="E51" s="597"/>
      <c r="F51" s="597"/>
      <c r="G51" s="597"/>
      <c r="H51" s="135"/>
      <c r="I51" s="135"/>
      <c r="J51" s="135"/>
      <c r="K51" s="223"/>
      <c r="L51" s="135"/>
      <c r="M51" s="135"/>
      <c r="N51" s="135"/>
      <c r="O51" s="135"/>
      <c r="P51" s="135"/>
      <c r="Q51" s="135"/>
    </row>
    <row r="52" spans="1:17" s="68" customFormat="1">
      <c r="A52" s="385">
        <f>A50+1</f>
        <v>37</v>
      </c>
      <c r="B52" s="385" t="s">
        <v>149</v>
      </c>
      <c r="C52" s="598" t="s">
        <v>1232</v>
      </c>
      <c r="D52" s="587" t="s">
        <v>1192</v>
      </c>
      <c r="E52" s="587" t="s">
        <v>93</v>
      </c>
      <c r="F52" s="433">
        <v>2</v>
      </c>
      <c r="G52" s="572"/>
      <c r="H52" s="146"/>
      <c r="I52" s="146"/>
      <c r="J52" s="146"/>
      <c r="K52" s="163"/>
      <c r="L52" s="146"/>
      <c r="M52" s="146"/>
      <c r="N52" s="146"/>
      <c r="O52" s="146"/>
      <c r="P52" s="146"/>
      <c r="Q52" s="146"/>
    </row>
    <row r="53" spans="1:17" s="68" customFormat="1" ht="24">
      <c r="A53" s="348">
        <f t="shared" si="0"/>
        <v>38</v>
      </c>
      <c r="B53" s="348" t="s">
        <v>149</v>
      </c>
      <c r="C53" s="599" t="s">
        <v>1233</v>
      </c>
      <c r="D53" s="590" t="s">
        <v>1234</v>
      </c>
      <c r="E53" s="590" t="s">
        <v>93</v>
      </c>
      <c r="F53" s="354">
        <v>2</v>
      </c>
      <c r="G53" s="435"/>
      <c r="H53" s="145"/>
      <c r="I53" s="145"/>
      <c r="J53" s="145"/>
      <c r="K53" s="156"/>
      <c r="L53" s="145"/>
      <c r="M53" s="145"/>
      <c r="N53" s="145"/>
      <c r="O53" s="145"/>
      <c r="P53" s="145"/>
      <c r="Q53" s="145"/>
    </row>
    <row r="54" spans="1:17" s="68" customFormat="1" ht="24">
      <c r="A54" s="348">
        <f t="shared" si="0"/>
        <v>39</v>
      </c>
      <c r="B54" s="348" t="s">
        <v>149</v>
      </c>
      <c r="C54" s="600" t="s">
        <v>1235</v>
      </c>
      <c r="D54" s="590" t="s">
        <v>1194</v>
      </c>
      <c r="E54" s="590" t="s">
        <v>93</v>
      </c>
      <c r="F54" s="354">
        <v>1</v>
      </c>
      <c r="G54" s="435"/>
      <c r="H54" s="145"/>
      <c r="I54" s="145"/>
      <c r="J54" s="145"/>
      <c r="K54" s="156"/>
      <c r="L54" s="145"/>
      <c r="M54" s="145"/>
      <c r="N54" s="145"/>
      <c r="O54" s="145"/>
      <c r="P54" s="145"/>
      <c r="Q54" s="145"/>
    </row>
    <row r="55" spans="1:17" s="68" customFormat="1">
      <c r="A55" s="348">
        <f t="shared" si="0"/>
        <v>40</v>
      </c>
      <c r="B55" s="348" t="s">
        <v>149</v>
      </c>
      <c r="C55" s="599" t="s">
        <v>1236</v>
      </c>
      <c r="D55" s="557"/>
      <c r="E55" s="590" t="s">
        <v>93</v>
      </c>
      <c r="F55" s="354">
        <v>1</v>
      </c>
      <c r="G55" s="435"/>
      <c r="H55" s="145"/>
      <c r="I55" s="145"/>
      <c r="J55" s="145"/>
      <c r="K55" s="156"/>
      <c r="L55" s="145"/>
      <c r="M55" s="145"/>
      <c r="N55" s="145"/>
      <c r="O55" s="145"/>
      <c r="P55" s="145"/>
      <c r="Q55" s="145"/>
    </row>
    <row r="56" spans="1:17" s="68" customFormat="1">
      <c r="A56" s="348">
        <f t="shared" si="0"/>
        <v>41</v>
      </c>
      <c r="B56" s="348" t="s">
        <v>149</v>
      </c>
      <c r="C56" s="599" t="s">
        <v>1232</v>
      </c>
      <c r="D56" s="557" t="s">
        <v>1194</v>
      </c>
      <c r="E56" s="590" t="s">
        <v>93</v>
      </c>
      <c r="F56" s="354">
        <v>1</v>
      </c>
      <c r="G56" s="435"/>
      <c r="H56" s="145"/>
      <c r="I56" s="145"/>
      <c r="J56" s="145"/>
      <c r="K56" s="156"/>
      <c r="L56" s="145"/>
      <c r="M56" s="145"/>
      <c r="N56" s="145"/>
      <c r="O56" s="145"/>
      <c r="P56" s="145"/>
      <c r="Q56" s="145"/>
    </row>
    <row r="57" spans="1:17" s="68" customFormat="1" ht="24">
      <c r="A57" s="348">
        <f t="shared" si="0"/>
        <v>42</v>
      </c>
      <c r="B57" s="348" t="s">
        <v>149</v>
      </c>
      <c r="C57" s="599" t="s">
        <v>1237</v>
      </c>
      <c r="D57" s="590" t="s">
        <v>1238</v>
      </c>
      <c r="E57" s="590" t="s">
        <v>93</v>
      </c>
      <c r="F57" s="354">
        <v>1</v>
      </c>
      <c r="G57" s="435"/>
      <c r="H57" s="145"/>
      <c r="I57" s="145"/>
      <c r="J57" s="145"/>
      <c r="K57" s="156"/>
      <c r="L57" s="145"/>
      <c r="M57" s="145"/>
      <c r="N57" s="145"/>
      <c r="O57" s="145"/>
      <c r="P57" s="145"/>
      <c r="Q57" s="145"/>
    </row>
    <row r="58" spans="1:17" s="68" customFormat="1">
      <c r="A58" s="348">
        <f t="shared" si="0"/>
        <v>43</v>
      </c>
      <c r="B58" s="348" t="s">
        <v>149</v>
      </c>
      <c r="C58" s="599" t="s">
        <v>1239</v>
      </c>
      <c r="D58" s="557" t="s">
        <v>1192</v>
      </c>
      <c r="E58" s="590" t="s">
        <v>93</v>
      </c>
      <c r="F58" s="354">
        <v>1</v>
      </c>
      <c r="G58" s="435"/>
      <c r="H58" s="145"/>
      <c r="I58" s="145"/>
      <c r="J58" s="145"/>
      <c r="K58" s="156"/>
      <c r="L58" s="145"/>
      <c r="M58" s="145"/>
      <c r="N58" s="145"/>
      <c r="O58" s="145"/>
      <c r="P58" s="145"/>
      <c r="Q58" s="145"/>
    </row>
    <row r="59" spans="1:17" s="68" customFormat="1">
      <c r="A59" s="348">
        <f t="shared" si="0"/>
        <v>44</v>
      </c>
      <c r="B59" s="348" t="s">
        <v>149</v>
      </c>
      <c r="C59" s="599" t="s">
        <v>1232</v>
      </c>
      <c r="D59" s="557" t="s">
        <v>1192</v>
      </c>
      <c r="E59" s="590" t="s">
        <v>93</v>
      </c>
      <c r="F59" s="354">
        <v>2</v>
      </c>
      <c r="G59" s="435"/>
      <c r="H59" s="145"/>
      <c r="I59" s="145"/>
      <c r="J59" s="145"/>
      <c r="K59" s="156"/>
      <c r="L59" s="145"/>
      <c r="M59" s="145"/>
      <c r="N59" s="145"/>
      <c r="O59" s="145"/>
      <c r="P59" s="145"/>
      <c r="Q59" s="145"/>
    </row>
    <row r="60" spans="1:17" s="68" customFormat="1" ht="24">
      <c r="A60" s="348">
        <f t="shared" si="0"/>
        <v>45</v>
      </c>
      <c r="B60" s="348" t="s">
        <v>149</v>
      </c>
      <c r="C60" s="599" t="s">
        <v>1233</v>
      </c>
      <c r="D60" s="590" t="s">
        <v>1240</v>
      </c>
      <c r="E60" s="590" t="s">
        <v>93</v>
      </c>
      <c r="F60" s="354">
        <v>1</v>
      </c>
      <c r="G60" s="435"/>
      <c r="H60" s="145"/>
      <c r="I60" s="145"/>
      <c r="J60" s="145"/>
      <c r="K60" s="156"/>
      <c r="L60" s="145"/>
      <c r="M60" s="145"/>
      <c r="N60" s="145"/>
      <c r="O60" s="145"/>
      <c r="P60" s="145"/>
      <c r="Q60" s="145"/>
    </row>
    <row r="61" spans="1:17" s="68" customFormat="1" ht="24">
      <c r="A61" s="348">
        <f t="shared" si="0"/>
        <v>46</v>
      </c>
      <c r="B61" s="348" t="s">
        <v>149</v>
      </c>
      <c r="C61" s="599" t="s">
        <v>1241</v>
      </c>
      <c r="D61" s="590" t="s">
        <v>1242</v>
      </c>
      <c r="E61" s="590" t="s">
        <v>93</v>
      </c>
      <c r="F61" s="354">
        <v>1</v>
      </c>
      <c r="G61" s="435"/>
      <c r="H61" s="145"/>
      <c r="I61" s="145"/>
      <c r="J61" s="145"/>
      <c r="K61" s="156"/>
      <c r="L61" s="145"/>
      <c r="M61" s="145"/>
      <c r="N61" s="145"/>
      <c r="O61" s="145"/>
      <c r="P61" s="145"/>
      <c r="Q61" s="145"/>
    </row>
    <row r="62" spans="1:17" s="68" customFormat="1">
      <c r="A62" s="348">
        <f t="shared" si="0"/>
        <v>47</v>
      </c>
      <c r="B62" s="348" t="s">
        <v>149</v>
      </c>
      <c r="C62" s="599" t="s">
        <v>1243</v>
      </c>
      <c r="D62" s="590"/>
      <c r="E62" s="590" t="s">
        <v>93</v>
      </c>
      <c r="F62" s="354">
        <v>1</v>
      </c>
      <c r="G62" s="435"/>
      <c r="H62" s="145"/>
      <c r="I62" s="145"/>
      <c r="J62" s="145"/>
      <c r="K62" s="156"/>
      <c r="L62" s="145"/>
      <c r="M62" s="145"/>
      <c r="N62" s="145"/>
      <c r="O62" s="145"/>
      <c r="P62" s="145"/>
      <c r="Q62" s="145"/>
    </row>
    <row r="63" spans="1:17" s="68" customFormat="1" ht="24">
      <c r="A63" s="380">
        <f t="shared" si="0"/>
        <v>48</v>
      </c>
      <c r="B63" s="380" t="s">
        <v>149</v>
      </c>
      <c r="C63" s="592" t="s">
        <v>1230</v>
      </c>
      <c r="D63" s="593"/>
      <c r="E63" s="594" t="s">
        <v>93</v>
      </c>
      <c r="F63" s="441">
        <v>1</v>
      </c>
      <c r="G63" s="485"/>
      <c r="H63" s="150"/>
      <c r="I63" s="150"/>
      <c r="J63" s="150"/>
      <c r="K63" s="160"/>
      <c r="L63" s="150"/>
      <c r="M63" s="150"/>
      <c r="N63" s="150"/>
      <c r="O63" s="150"/>
      <c r="P63" s="150"/>
      <c r="Q63" s="150"/>
    </row>
    <row r="64" spans="1:17" s="68" customFormat="1">
      <c r="A64" s="370"/>
      <c r="B64" s="370"/>
      <c r="C64" s="601" t="s">
        <v>1244</v>
      </c>
      <c r="D64" s="585"/>
      <c r="E64" s="585"/>
      <c r="F64" s="619"/>
      <c r="G64" s="585"/>
      <c r="H64" s="135"/>
      <c r="I64" s="135"/>
      <c r="J64" s="135"/>
      <c r="K64" s="223"/>
      <c r="L64" s="135"/>
      <c r="M64" s="135"/>
      <c r="N64" s="135"/>
      <c r="O64" s="135"/>
      <c r="P64" s="135"/>
      <c r="Q64" s="135"/>
    </row>
    <row r="65" spans="1:17" s="68" customFormat="1">
      <c r="A65" s="385">
        <f>A63+1</f>
        <v>49</v>
      </c>
      <c r="B65" s="385" t="s">
        <v>149</v>
      </c>
      <c r="C65" s="586" t="s">
        <v>1191</v>
      </c>
      <c r="D65" s="595" t="s">
        <v>1192</v>
      </c>
      <c r="E65" s="587" t="s">
        <v>77</v>
      </c>
      <c r="F65" s="433">
        <v>30</v>
      </c>
      <c r="G65" s="602"/>
      <c r="H65" s="146"/>
      <c r="I65" s="146"/>
      <c r="J65" s="146"/>
      <c r="K65" s="163"/>
      <c r="L65" s="146"/>
      <c r="M65" s="146"/>
      <c r="N65" s="146"/>
      <c r="O65" s="146"/>
      <c r="P65" s="146"/>
      <c r="Q65" s="146"/>
    </row>
    <row r="66" spans="1:17" s="68" customFormat="1">
      <c r="A66" s="348">
        <f t="shared" si="0"/>
        <v>50</v>
      </c>
      <c r="B66" s="348" t="s">
        <v>149</v>
      </c>
      <c r="C66" s="588" t="s">
        <v>1193</v>
      </c>
      <c r="D66" s="589" t="s">
        <v>1194</v>
      </c>
      <c r="E66" s="590" t="s">
        <v>77</v>
      </c>
      <c r="F66" s="354">
        <v>30</v>
      </c>
      <c r="G66" s="483"/>
      <c r="H66" s="145"/>
      <c r="I66" s="145"/>
      <c r="J66" s="145"/>
      <c r="K66" s="156"/>
      <c r="L66" s="145"/>
      <c r="M66" s="145"/>
      <c r="N66" s="145"/>
      <c r="O66" s="145"/>
      <c r="P66" s="145"/>
      <c r="Q66" s="145"/>
    </row>
    <row r="67" spans="1:17" s="68" customFormat="1">
      <c r="A67" s="348">
        <f t="shared" si="0"/>
        <v>51</v>
      </c>
      <c r="B67" s="348" t="s">
        <v>149</v>
      </c>
      <c r="C67" s="588" t="s">
        <v>1195</v>
      </c>
      <c r="D67" s="589" t="s">
        <v>1196</v>
      </c>
      <c r="E67" s="590" t="s">
        <v>77</v>
      </c>
      <c r="F67" s="354">
        <v>62</v>
      </c>
      <c r="G67" s="483"/>
      <c r="H67" s="145"/>
      <c r="I67" s="145"/>
      <c r="J67" s="145"/>
      <c r="K67" s="156"/>
      <c r="L67" s="145"/>
      <c r="M67" s="145"/>
      <c r="N67" s="145"/>
      <c r="O67" s="145"/>
      <c r="P67" s="145"/>
      <c r="Q67" s="145"/>
    </row>
    <row r="68" spans="1:17" s="68" customFormat="1">
      <c r="A68" s="348">
        <f t="shared" si="0"/>
        <v>52</v>
      </c>
      <c r="B68" s="348" t="s">
        <v>149</v>
      </c>
      <c r="C68" s="588" t="s">
        <v>1197</v>
      </c>
      <c r="D68" s="589" t="s">
        <v>1198</v>
      </c>
      <c r="E68" s="590" t="s">
        <v>77</v>
      </c>
      <c r="F68" s="354">
        <v>69</v>
      </c>
      <c r="G68" s="483"/>
      <c r="H68" s="145"/>
      <c r="I68" s="145"/>
      <c r="J68" s="145"/>
      <c r="K68" s="156"/>
      <c r="L68" s="145"/>
      <c r="M68" s="145"/>
      <c r="N68" s="145"/>
      <c r="O68" s="145"/>
      <c r="P68" s="145"/>
      <c r="Q68" s="145"/>
    </row>
    <row r="69" spans="1:17" s="68" customFormat="1">
      <c r="A69" s="348">
        <f t="shared" si="0"/>
        <v>53</v>
      </c>
      <c r="B69" s="348" t="s">
        <v>149</v>
      </c>
      <c r="C69" s="588" t="s">
        <v>1199</v>
      </c>
      <c r="D69" s="589" t="s">
        <v>1200</v>
      </c>
      <c r="E69" s="590" t="s">
        <v>77</v>
      </c>
      <c r="F69" s="354">
        <v>485</v>
      </c>
      <c r="G69" s="483"/>
      <c r="H69" s="145"/>
      <c r="I69" s="145"/>
      <c r="J69" s="145"/>
      <c r="K69" s="156"/>
      <c r="L69" s="145"/>
      <c r="M69" s="145"/>
      <c r="N69" s="145"/>
      <c r="O69" s="145"/>
      <c r="P69" s="145"/>
      <c r="Q69" s="145"/>
    </row>
    <row r="70" spans="1:17" s="68" customFormat="1">
      <c r="A70" s="348">
        <f t="shared" si="0"/>
        <v>54</v>
      </c>
      <c r="B70" s="348" t="s">
        <v>149</v>
      </c>
      <c r="C70" s="588" t="s">
        <v>1201</v>
      </c>
      <c r="D70" s="589"/>
      <c r="E70" s="590" t="s">
        <v>90</v>
      </c>
      <c r="F70" s="354">
        <v>1</v>
      </c>
      <c r="G70" s="435"/>
      <c r="H70" s="145"/>
      <c r="I70" s="145"/>
      <c r="J70" s="145"/>
      <c r="K70" s="156"/>
      <c r="L70" s="145"/>
      <c r="M70" s="145"/>
      <c r="N70" s="145"/>
      <c r="O70" s="145"/>
      <c r="P70" s="145"/>
      <c r="Q70" s="145"/>
    </row>
    <row r="71" spans="1:17" s="68" customFormat="1">
      <c r="A71" s="348">
        <f t="shared" si="0"/>
        <v>55</v>
      </c>
      <c r="B71" s="348" t="s">
        <v>149</v>
      </c>
      <c r="C71" s="591" t="s">
        <v>1245</v>
      </c>
      <c r="D71" s="590"/>
      <c r="E71" s="590" t="s">
        <v>77</v>
      </c>
      <c r="F71" s="379">
        <f>F65</f>
        <v>30</v>
      </c>
      <c r="G71" s="559"/>
      <c r="H71" s="145"/>
      <c r="I71" s="145"/>
      <c r="J71" s="145"/>
      <c r="K71" s="156"/>
      <c r="L71" s="145"/>
      <c r="M71" s="145"/>
      <c r="N71" s="145"/>
      <c r="O71" s="145"/>
      <c r="P71" s="145"/>
      <c r="Q71" s="145"/>
    </row>
    <row r="72" spans="1:17" s="68" customFormat="1">
      <c r="A72" s="348">
        <f t="shared" si="0"/>
        <v>56</v>
      </c>
      <c r="B72" s="348" t="s">
        <v>149</v>
      </c>
      <c r="C72" s="591" t="s">
        <v>1246</v>
      </c>
      <c r="D72" s="590"/>
      <c r="E72" s="590" t="s">
        <v>77</v>
      </c>
      <c r="F72" s="379">
        <v>30</v>
      </c>
      <c r="G72" s="559"/>
      <c r="H72" s="145"/>
      <c r="I72" s="145"/>
      <c r="J72" s="145"/>
      <c r="K72" s="156"/>
      <c r="L72" s="145"/>
      <c r="M72" s="145"/>
      <c r="N72" s="145"/>
      <c r="O72" s="145"/>
      <c r="P72" s="145"/>
      <c r="Q72" s="145"/>
    </row>
    <row r="73" spans="1:17" s="68" customFormat="1">
      <c r="A73" s="348">
        <f t="shared" si="0"/>
        <v>57</v>
      </c>
      <c r="B73" s="348" t="s">
        <v>149</v>
      </c>
      <c r="C73" s="591" t="s">
        <v>1247</v>
      </c>
      <c r="D73" s="590"/>
      <c r="E73" s="590" t="s">
        <v>77</v>
      </c>
      <c r="F73" s="379">
        <v>62</v>
      </c>
      <c r="G73" s="559"/>
      <c r="H73" s="145"/>
      <c r="I73" s="145"/>
      <c r="J73" s="145"/>
      <c r="K73" s="156"/>
      <c r="L73" s="145"/>
      <c r="M73" s="145"/>
      <c r="N73" s="145"/>
      <c r="O73" s="145"/>
      <c r="P73" s="145"/>
      <c r="Q73" s="145"/>
    </row>
    <row r="74" spans="1:17" s="68" customFormat="1">
      <c r="A74" s="348">
        <f t="shared" si="0"/>
        <v>58</v>
      </c>
      <c r="B74" s="348" t="s">
        <v>149</v>
      </c>
      <c r="C74" s="591" t="s">
        <v>1248</v>
      </c>
      <c r="D74" s="590"/>
      <c r="E74" s="590" t="s">
        <v>77</v>
      </c>
      <c r="F74" s="379">
        <v>69</v>
      </c>
      <c r="G74" s="559"/>
      <c r="H74" s="145"/>
      <c r="I74" s="145"/>
      <c r="J74" s="145"/>
      <c r="K74" s="156"/>
      <c r="L74" s="145"/>
      <c r="M74" s="145"/>
      <c r="N74" s="145"/>
      <c r="O74" s="145"/>
      <c r="P74" s="145"/>
      <c r="Q74" s="145"/>
    </row>
    <row r="75" spans="1:17" s="68" customFormat="1">
      <c r="A75" s="348">
        <f t="shared" si="0"/>
        <v>59</v>
      </c>
      <c r="B75" s="348" t="s">
        <v>149</v>
      </c>
      <c r="C75" s="591" t="s">
        <v>1249</v>
      </c>
      <c r="D75" s="590"/>
      <c r="E75" s="590" t="s">
        <v>77</v>
      </c>
      <c r="F75" s="379">
        <f>F69</f>
        <v>485</v>
      </c>
      <c r="G75" s="559"/>
      <c r="H75" s="145"/>
      <c r="I75" s="145"/>
      <c r="J75" s="145"/>
      <c r="K75" s="156"/>
      <c r="L75" s="145"/>
      <c r="M75" s="145"/>
      <c r="N75" s="145"/>
      <c r="O75" s="145"/>
      <c r="P75" s="145"/>
      <c r="Q75" s="145"/>
    </row>
    <row r="76" spans="1:17" s="68" customFormat="1">
      <c r="A76" s="348">
        <f t="shared" si="0"/>
        <v>60</v>
      </c>
      <c r="B76" s="348" t="s">
        <v>149</v>
      </c>
      <c r="C76" s="588" t="s">
        <v>1208</v>
      </c>
      <c r="D76" s="589" t="s">
        <v>1192</v>
      </c>
      <c r="E76" s="590" t="s">
        <v>93</v>
      </c>
      <c r="F76" s="354">
        <v>2</v>
      </c>
      <c r="G76" s="435"/>
      <c r="H76" s="145"/>
      <c r="I76" s="145"/>
      <c r="J76" s="145"/>
      <c r="K76" s="156"/>
      <c r="L76" s="145"/>
      <c r="M76" s="145"/>
      <c r="N76" s="145"/>
      <c r="O76" s="145"/>
      <c r="P76" s="145"/>
      <c r="Q76" s="145"/>
    </row>
    <row r="77" spans="1:17" s="68" customFormat="1">
      <c r="A77" s="348">
        <f t="shared" ref="A77:A134" si="1">A76+1</f>
        <v>61</v>
      </c>
      <c r="B77" s="348" t="s">
        <v>149</v>
      </c>
      <c r="C77" s="588" t="s">
        <v>1208</v>
      </c>
      <c r="D77" s="589" t="s">
        <v>1194</v>
      </c>
      <c r="E77" s="590" t="s">
        <v>93</v>
      </c>
      <c r="F77" s="354">
        <v>1</v>
      </c>
      <c r="G77" s="435"/>
      <c r="H77" s="145"/>
      <c r="I77" s="145"/>
      <c r="J77" s="145"/>
      <c r="K77" s="156"/>
      <c r="L77" s="145"/>
      <c r="M77" s="145"/>
      <c r="N77" s="145"/>
      <c r="O77" s="145"/>
      <c r="P77" s="145"/>
      <c r="Q77" s="145"/>
    </row>
    <row r="78" spans="1:17" s="68" customFormat="1">
      <c r="A78" s="348">
        <f t="shared" si="1"/>
        <v>62</v>
      </c>
      <c r="B78" s="348" t="s">
        <v>149</v>
      </c>
      <c r="C78" s="588" t="s">
        <v>1208</v>
      </c>
      <c r="D78" s="589" t="s">
        <v>1196</v>
      </c>
      <c r="E78" s="590" t="s">
        <v>93</v>
      </c>
      <c r="F78" s="354">
        <v>4</v>
      </c>
      <c r="G78" s="435"/>
      <c r="H78" s="145"/>
      <c r="I78" s="145"/>
      <c r="J78" s="145"/>
      <c r="K78" s="156"/>
      <c r="L78" s="145"/>
      <c r="M78" s="145"/>
      <c r="N78" s="145"/>
      <c r="O78" s="145"/>
      <c r="P78" s="145"/>
      <c r="Q78" s="145"/>
    </row>
    <row r="79" spans="1:17" s="68" customFormat="1">
      <c r="A79" s="348">
        <f t="shared" si="1"/>
        <v>63</v>
      </c>
      <c r="B79" s="348" t="s">
        <v>149</v>
      </c>
      <c r="C79" s="588" t="s">
        <v>1208</v>
      </c>
      <c r="D79" s="589" t="s">
        <v>1198</v>
      </c>
      <c r="E79" s="590" t="s">
        <v>93</v>
      </c>
      <c r="F79" s="354">
        <v>5</v>
      </c>
      <c r="G79" s="435"/>
      <c r="H79" s="145"/>
      <c r="I79" s="145"/>
      <c r="J79" s="145"/>
      <c r="K79" s="156"/>
      <c r="L79" s="145"/>
      <c r="M79" s="145"/>
      <c r="N79" s="145"/>
      <c r="O79" s="145"/>
      <c r="P79" s="145"/>
      <c r="Q79" s="145"/>
    </row>
    <row r="80" spans="1:17" s="68" customFormat="1">
      <c r="A80" s="348">
        <f t="shared" si="1"/>
        <v>64</v>
      </c>
      <c r="B80" s="348" t="s">
        <v>149</v>
      </c>
      <c r="C80" s="588" t="s">
        <v>1208</v>
      </c>
      <c r="D80" s="589" t="s">
        <v>1200</v>
      </c>
      <c r="E80" s="590" t="s">
        <v>93</v>
      </c>
      <c r="F80" s="354">
        <v>20</v>
      </c>
      <c r="G80" s="435"/>
      <c r="H80" s="145"/>
      <c r="I80" s="145"/>
      <c r="J80" s="145"/>
      <c r="K80" s="156"/>
      <c r="L80" s="145"/>
      <c r="M80" s="145"/>
      <c r="N80" s="145"/>
      <c r="O80" s="145"/>
      <c r="P80" s="145"/>
      <c r="Q80" s="145"/>
    </row>
    <row r="81" spans="1:17" s="68" customFormat="1">
      <c r="A81" s="348">
        <f t="shared" si="1"/>
        <v>65</v>
      </c>
      <c r="B81" s="348" t="s">
        <v>149</v>
      </c>
      <c r="C81" s="588" t="s">
        <v>1250</v>
      </c>
      <c r="D81" s="589" t="s">
        <v>1200</v>
      </c>
      <c r="E81" s="590" t="s">
        <v>93</v>
      </c>
      <c r="F81" s="354">
        <v>10</v>
      </c>
      <c r="G81" s="435"/>
      <c r="H81" s="145"/>
      <c r="I81" s="145"/>
      <c r="J81" s="145"/>
      <c r="K81" s="156"/>
      <c r="L81" s="145"/>
      <c r="M81" s="145"/>
      <c r="N81" s="145"/>
      <c r="O81" s="145"/>
      <c r="P81" s="145"/>
      <c r="Q81" s="145"/>
    </row>
    <row r="82" spans="1:17" s="68" customFormat="1" ht="24">
      <c r="A82" s="348">
        <f t="shared" si="1"/>
        <v>66</v>
      </c>
      <c r="B82" s="348" t="s">
        <v>149</v>
      </c>
      <c r="C82" s="588" t="s">
        <v>1216</v>
      </c>
      <c r="D82" s="590"/>
      <c r="E82" s="590" t="s">
        <v>90</v>
      </c>
      <c r="F82" s="354">
        <v>1</v>
      </c>
      <c r="G82" s="435"/>
      <c r="H82" s="145"/>
      <c r="I82" s="145"/>
      <c r="J82" s="145"/>
      <c r="K82" s="156"/>
      <c r="L82" s="145"/>
      <c r="M82" s="145"/>
      <c r="N82" s="145"/>
      <c r="O82" s="145"/>
      <c r="P82" s="145"/>
      <c r="Q82" s="145"/>
    </row>
    <row r="83" spans="1:17" s="68" customFormat="1">
      <c r="A83" s="348">
        <f t="shared" si="1"/>
        <v>67</v>
      </c>
      <c r="B83" s="348" t="s">
        <v>149</v>
      </c>
      <c r="C83" s="588" t="s">
        <v>1217</v>
      </c>
      <c r="D83" s="589"/>
      <c r="E83" s="590" t="s">
        <v>90</v>
      </c>
      <c r="F83" s="354">
        <v>676</v>
      </c>
      <c r="G83" s="435"/>
      <c r="H83" s="145"/>
      <c r="I83" s="145"/>
      <c r="J83" s="145"/>
      <c r="K83" s="156"/>
      <c r="L83" s="145"/>
      <c r="M83" s="145"/>
      <c r="N83" s="145"/>
      <c r="O83" s="145"/>
      <c r="P83" s="145"/>
      <c r="Q83" s="145"/>
    </row>
    <row r="84" spans="1:17" s="68" customFormat="1">
      <c r="A84" s="380">
        <f t="shared" si="1"/>
        <v>68</v>
      </c>
      <c r="B84" s="380" t="s">
        <v>149</v>
      </c>
      <c r="C84" s="592" t="s">
        <v>1218</v>
      </c>
      <c r="D84" s="593"/>
      <c r="E84" s="594" t="s">
        <v>90</v>
      </c>
      <c r="F84" s="441">
        <v>1</v>
      </c>
      <c r="G84" s="485"/>
      <c r="H84" s="150"/>
      <c r="I84" s="150"/>
      <c r="J84" s="150"/>
      <c r="K84" s="160"/>
      <c r="L84" s="150"/>
      <c r="M84" s="150"/>
      <c r="N84" s="150"/>
      <c r="O84" s="150"/>
      <c r="P84" s="150"/>
      <c r="Q84" s="150"/>
    </row>
    <row r="85" spans="1:17" s="68" customFormat="1">
      <c r="A85" s="370"/>
      <c r="B85" s="370"/>
      <c r="C85" s="584" t="s">
        <v>1251</v>
      </c>
      <c r="D85" s="585"/>
      <c r="E85" s="585"/>
      <c r="F85" s="619"/>
      <c r="G85" s="585"/>
      <c r="H85" s="135"/>
      <c r="I85" s="135"/>
      <c r="J85" s="135"/>
      <c r="K85" s="223"/>
      <c r="L85" s="135"/>
      <c r="M85" s="135"/>
      <c r="N85" s="135"/>
      <c r="O85" s="135"/>
      <c r="P85" s="135"/>
      <c r="Q85" s="135"/>
    </row>
    <row r="86" spans="1:17" s="68" customFormat="1">
      <c r="A86" s="385">
        <f>A84+1</f>
        <v>69</v>
      </c>
      <c r="B86" s="385" t="s">
        <v>149</v>
      </c>
      <c r="C86" s="586" t="s">
        <v>1252</v>
      </c>
      <c r="D86" s="595" t="s">
        <v>1253</v>
      </c>
      <c r="E86" s="587" t="s">
        <v>77</v>
      </c>
      <c r="F86" s="433">
        <v>123</v>
      </c>
      <c r="G86" s="572"/>
      <c r="H86" s="146"/>
      <c r="I86" s="146"/>
      <c r="J86" s="146"/>
      <c r="K86" s="163"/>
      <c r="L86" s="146"/>
      <c r="M86" s="146"/>
      <c r="N86" s="146"/>
      <c r="O86" s="146"/>
      <c r="P86" s="146"/>
      <c r="Q86" s="146"/>
    </row>
    <row r="87" spans="1:17" s="68" customFormat="1">
      <c r="A87" s="348">
        <f t="shared" si="1"/>
        <v>70</v>
      </c>
      <c r="B87" s="348" t="s">
        <v>149</v>
      </c>
      <c r="C87" s="588" t="s">
        <v>1254</v>
      </c>
      <c r="D87" s="589" t="s">
        <v>1253</v>
      </c>
      <c r="E87" s="590" t="s">
        <v>90</v>
      </c>
      <c r="F87" s="354">
        <v>1</v>
      </c>
      <c r="G87" s="435"/>
      <c r="H87" s="145"/>
      <c r="I87" s="145"/>
      <c r="J87" s="145"/>
      <c r="K87" s="156"/>
      <c r="L87" s="145"/>
      <c r="M87" s="145"/>
      <c r="N87" s="145"/>
      <c r="O87" s="145"/>
      <c r="P87" s="145"/>
      <c r="Q87" s="145"/>
    </row>
    <row r="88" spans="1:17" s="68" customFormat="1">
      <c r="A88" s="348">
        <f t="shared" si="1"/>
        <v>71</v>
      </c>
      <c r="B88" s="348" t="s">
        <v>149</v>
      </c>
      <c r="C88" s="588" t="s">
        <v>1255</v>
      </c>
      <c r="D88" s="589"/>
      <c r="E88" s="589" t="s">
        <v>1777</v>
      </c>
      <c r="F88" s="354">
        <v>15</v>
      </c>
      <c r="G88" s="435"/>
      <c r="H88" s="145"/>
      <c r="I88" s="145"/>
      <c r="J88" s="145"/>
      <c r="K88" s="156"/>
      <c r="L88" s="145"/>
      <c r="M88" s="145"/>
      <c r="N88" s="145"/>
      <c r="O88" s="145"/>
      <c r="P88" s="145"/>
      <c r="Q88" s="145"/>
    </row>
    <row r="89" spans="1:17" s="68" customFormat="1">
      <c r="A89" s="348">
        <f t="shared" si="1"/>
        <v>72</v>
      </c>
      <c r="B89" s="348" t="s">
        <v>149</v>
      </c>
      <c r="C89" s="588" t="s">
        <v>1208</v>
      </c>
      <c r="D89" s="589" t="s">
        <v>1253</v>
      </c>
      <c r="E89" s="590" t="s">
        <v>93</v>
      </c>
      <c r="F89" s="354">
        <v>2</v>
      </c>
      <c r="G89" s="435"/>
      <c r="H89" s="145"/>
      <c r="I89" s="145"/>
      <c r="J89" s="145"/>
      <c r="K89" s="156"/>
      <c r="L89" s="145"/>
      <c r="M89" s="145"/>
      <c r="N89" s="145"/>
      <c r="O89" s="145"/>
      <c r="P89" s="145"/>
      <c r="Q89" s="145"/>
    </row>
    <row r="90" spans="1:17" s="68" customFormat="1">
      <c r="A90" s="348">
        <f t="shared" si="1"/>
        <v>73</v>
      </c>
      <c r="B90" s="348" t="s">
        <v>149</v>
      </c>
      <c r="C90" s="588" t="s">
        <v>1256</v>
      </c>
      <c r="D90" s="589" t="s">
        <v>1253</v>
      </c>
      <c r="E90" s="590" t="s">
        <v>93</v>
      </c>
      <c r="F90" s="354">
        <v>1</v>
      </c>
      <c r="G90" s="435"/>
      <c r="H90" s="145"/>
      <c r="I90" s="145"/>
      <c r="J90" s="145"/>
      <c r="K90" s="156"/>
      <c r="L90" s="145"/>
      <c r="M90" s="145"/>
      <c r="N90" s="145"/>
      <c r="O90" s="145"/>
      <c r="P90" s="145"/>
      <c r="Q90" s="145"/>
    </row>
    <row r="91" spans="1:17" s="68" customFormat="1">
      <c r="A91" s="348">
        <f t="shared" si="1"/>
        <v>74</v>
      </c>
      <c r="B91" s="348" t="s">
        <v>149</v>
      </c>
      <c r="C91" s="588" t="s">
        <v>1257</v>
      </c>
      <c r="D91" s="589"/>
      <c r="E91" s="590" t="s">
        <v>90</v>
      </c>
      <c r="F91" s="354">
        <v>1</v>
      </c>
      <c r="G91" s="435"/>
      <c r="H91" s="145"/>
      <c r="I91" s="145"/>
      <c r="J91" s="145"/>
      <c r="K91" s="156"/>
      <c r="L91" s="145"/>
      <c r="M91" s="145"/>
      <c r="N91" s="145"/>
      <c r="O91" s="145"/>
      <c r="P91" s="145"/>
      <c r="Q91" s="145"/>
    </row>
    <row r="92" spans="1:17" s="68" customFormat="1" ht="36">
      <c r="A92" s="348">
        <f t="shared" si="1"/>
        <v>75</v>
      </c>
      <c r="B92" s="348" t="s">
        <v>149</v>
      </c>
      <c r="C92" s="588" t="s">
        <v>1782</v>
      </c>
      <c r="D92" s="589" t="s">
        <v>1196</v>
      </c>
      <c r="E92" s="590" t="s">
        <v>93</v>
      </c>
      <c r="F92" s="354">
        <v>9</v>
      </c>
      <c r="G92" s="435"/>
      <c r="H92" s="145"/>
      <c r="I92" s="145"/>
      <c r="J92" s="145"/>
      <c r="K92" s="156"/>
      <c r="L92" s="145"/>
      <c r="M92" s="145"/>
      <c r="N92" s="145"/>
      <c r="O92" s="145"/>
      <c r="P92" s="145"/>
      <c r="Q92" s="145"/>
    </row>
    <row r="93" spans="1:17" s="68" customFormat="1" ht="36">
      <c r="A93" s="348">
        <f t="shared" si="1"/>
        <v>76</v>
      </c>
      <c r="B93" s="348" t="s">
        <v>149</v>
      </c>
      <c r="C93" s="588" t="s">
        <v>1783</v>
      </c>
      <c r="D93" s="589"/>
      <c r="E93" s="590" t="s">
        <v>93</v>
      </c>
      <c r="F93" s="354">
        <v>1</v>
      </c>
      <c r="G93" s="435"/>
      <c r="H93" s="145"/>
      <c r="I93" s="145"/>
      <c r="J93" s="145"/>
      <c r="K93" s="156"/>
      <c r="L93" s="145"/>
      <c r="M93" s="145"/>
      <c r="N93" s="145"/>
      <c r="O93" s="145"/>
      <c r="P93" s="145"/>
      <c r="Q93" s="145"/>
    </row>
    <row r="94" spans="1:17" s="68" customFormat="1">
      <c r="A94" s="348">
        <f t="shared" si="1"/>
        <v>77</v>
      </c>
      <c r="B94" s="348" t="s">
        <v>149</v>
      </c>
      <c r="C94" s="588" t="s">
        <v>1217</v>
      </c>
      <c r="D94" s="589"/>
      <c r="E94" s="590" t="s">
        <v>77</v>
      </c>
      <c r="F94" s="354">
        <v>123</v>
      </c>
      <c r="G94" s="435"/>
      <c r="H94" s="145"/>
      <c r="I94" s="145"/>
      <c r="J94" s="145"/>
      <c r="K94" s="156"/>
      <c r="L94" s="145"/>
      <c r="M94" s="145"/>
      <c r="N94" s="145"/>
      <c r="O94" s="145"/>
      <c r="P94" s="145"/>
      <c r="Q94" s="145"/>
    </row>
    <row r="95" spans="1:17" s="68" customFormat="1" ht="24">
      <c r="A95" s="380">
        <f t="shared" si="1"/>
        <v>78</v>
      </c>
      <c r="B95" s="380" t="s">
        <v>149</v>
      </c>
      <c r="C95" s="592" t="s">
        <v>1216</v>
      </c>
      <c r="D95" s="593"/>
      <c r="E95" s="594" t="s">
        <v>90</v>
      </c>
      <c r="F95" s="441">
        <v>1</v>
      </c>
      <c r="G95" s="485"/>
      <c r="H95" s="150"/>
      <c r="I95" s="150"/>
      <c r="J95" s="150"/>
      <c r="K95" s="160"/>
      <c r="L95" s="150"/>
      <c r="M95" s="150"/>
      <c r="N95" s="150"/>
      <c r="O95" s="150"/>
      <c r="P95" s="150"/>
      <c r="Q95" s="150"/>
    </row>
    <row r="96" spans="1:17" s="68" customFormat="1">
      <c r="A96" s="370"/>
      <c r="B96" s="370"/>
      <c r="C96" s="585" t="s">
        <v>1258</v>
      </c>
      <c r="D96" s="585"/>
      <c r="E96" s="585"/>
      <c r="F96" s="619"/>
      <c r="G96" s="585"/>
      <c r="H96" s="135"/>
      <c r="I96" s="135"/>
      <c r="J96" s="135"/>
      <c r="K96" s="223"/>
      <c r="L96" s="135"/>
      <c r="M96" s="135"/>
      <c r="N96" s="135"/>
      <c r="O96" s="135"/>
      <c r="P96" s="135"/>
      <c r="Q96" s="135"/>
    </row>
    <row r="97" spans="1:17" s="68" customFormat="1" ht="24">
      <c r="A97" s="385">
        <f>A95+1</f>
        <v>79</v>
      </c>
      <c r="B97" s="385" t="s">
        <v>149</v>
      </c>
      <c r="C97" s="586" t="s">
        <v>1259</v>
      </c>
      <c r="D97" s="603"/>
      <c r="E97" s="587" t="s">
        <v>90</v>
      </c>
      <c r="F97" s="433">
        <v>20</v>
      </c>
      <c r="G97" s="587"/>
      <c r="H97" s="146"/>
      <c r="I97" s="146"/>
      <c r="J97" s="146"/>
      <c r="K97" s="163"/>
      <c r="L97" s="146"/>
      <c r="M97" s="146"/>
      <c r="N97" s="146"/>
      <c r="O97" s="146"/>
      <c r="P97" s="146"/>
      <c r="Q97" s="146"/>
    </row>
    <row r="98" spans="1:17" s="68" customFormat="1" ht="24">
      <c r="A98" s="348">
        <f t="shared" si="1"/>
        <v>80</v>
      </c>
      <c r="B98" s="348" t="s">
        <v>149</v>
      </c>
      <c r="C98" s="588" t="s">
        <v>1260</v>
      </c>
      <c r="D98" s="604"/>
      <c r="E98" s="590" t="s">
        <v>90</v>
      </c>
      <c r="F98" s="354">
        <v>17</v>
      </c>
      <c r="G98" s="590"/>
      <c r="H98" s="145"/>
      <c r="I98" s="145"/>
      <c r="J98" s="145"/>
      <c r="K98" s="156"/>
      <c r="L98" s="145"/>
      <c r="M98" s="145"/>
      <c r="N98" s="145"/>
      <c r="O98" s="145"/>
      <c r="P98" s="145"/>
      <c r="Q98" s="145"/>
    </row>
    <row r="99" spans="1:17" s="68" customFormat="1" ht="36">
      <c r="A99" s="348">
        <f t="shared" si="1"/>
        <v>81</v>
      </c>
      <c r="B99" s="348" t="s">
        <v>149</v>
      </c>
      <c r="C99" s="588" t="s">
        <v>1261</v>
      </c>
      <c r="D99" s="589"/>
      <c r="E99" s="590" t="s">
        <v>90</v>
      </c>
      <c r="F99" s="354">
        <v>15</v>
      </c>
      <c r="G99" s="435"/>
      <c r="H99" s="145"/>
      <c r="I99" s="145"/>
      <c r="J99" s="145"/>
      <c r="K99" s="156"/>
      <c r="L99" s="145"/>
      <c r="M99" s="145"/>
      <c r="N99" s="145"/>
      <c r="O99" s="145"/>
      <c r="P99" s="145"/>
      <c r="Q99" s="145"/>
    </row>
    <row r="100" spans="1:17" s="68" customFormat="1" ht="24">
      <c r="A100" s="348">
        <f t="shared" si="1"/>
        <v>82</v>
      </c>
      <c r="B100" s="348" t="s">
        <v>149</v>
      </c>
      <c r="C100" s="588" t="s">
        <v>1262</v>
      </c>
      <c r="D100" s="589"/>
      <c r="E100" s="590" t="s">
        <v>90</v>
      </c>
      <c r="F100" s="354">
        <v>4</v>
      </c>
      <c r="G100" s="435"/>
      <c r="H100" s="145"/>
      <c r="I100" s="145"/>
      <c r="J100" s="145"/>
      <c r="K100" s="156"/>
      <c r="L100" s="145"/>
      <c r="M100" s="145"/>
      <c r="N100" s="145"/>
      <c r="O100" s="145"/>
      <c r="P100" s="145"/>
      <c r="Q100" s="145"/>
    </row>
    <row r="101" spans="1:17" s="68" customFormat="1" ht="24">
      <c r="A101" s="348">
        <f t="shared" si="1"/>
        <v>83</v>
      </c>
      <c r="B101" s="348" t="s">
        <v>149</v>
      </c>
      <c r="C101" s="588" t="s">
        <v>1263</v>
      </c>
      <c r="D101" s="589"/>
      <c r="E101" s="590" t="s">
        <v>90</v>
      </c>
      <c r="F101" s="354">
        <v>1</v>
      </c>
      <c r="G101" s="435"/>
      <c r="H101" s="145"/>
      <c r="I101" s="145"/>
      <c r="J101" s="145"/>
      <c r="K101" s="156"/>
      <c r="L101" s="145"/>
      <c r="M101" s="145"/>
      <c r="N101" s="145"/>
      <c r="O101" s="145"/>
      <c r="P101" s="145"/>
      <c r="Q101" s="145"/>
    </row>
    <row r="102" spans="1:17" s="68" customFormat="1" ht="24">
      <c r="A102" s="348">
        <f t="shared" si="1"/>
        <v>84</v>
      </c>
      <c r="B102" s="348" t="s">
        <v>149</v>
      </c>
      <c r="C102" s="588" t="s">
        <v>1264</v>
      </c>
      <c r="D102" s="589"/>
      <c r="E102" s="590" t="s">
        <v>90</v>
      </c>
      <c r="F102" s="354">
        <v>2</v>
      </c>
      <c r="G102" s="435"/>
      <c r="H102" s="145"/>
      <c r="I102" s="145"/>
      <c r="J102" s="145"/>
      <c r="K102" s="156"/>
      <c r="L102" s="145"/>
      <c r="M102" s="145"/>
      <c r="N102" s="145"/>
      <c r="O102" s="145"/>
      <c r="P102" s="145"/>
      <c r="Q102" s="145"/>
    </row>
    <row r="103" spans="1:17" s="68" customFormat="1">
      <c r="A103" s="348">
        <f t="shared" si="1"/>
        <v>85</v>
      </c>
      <c r="B103" s="348" t="s">
        <v>149</v>
      </c>
      <c r="C103" s="588" t="s">
        <v>1265</v>
      </c>
      <c r="D103" s="589"/>
      <c r="E103" s="590" t="s">
        <v>90</v>
      </c>
      <c r="F103" s="354">
        <v>1</v>
      </c>
      <c r="G103" s="435"/>
      <c r="H103" s="145"/>
      <c r="I103" s="145"/>
      <c r="J103" s="145"/>
      <c r="K103" s="156"/>
      <c r="L103" s="145"/>
      <c r="M103" s="145"/>
      <c r="N103" s="145"/>
      <c r="O103" s="145"/>
      <c r="P103" s="145"/>
      <c r="Q103" s="145"/>
    </row>
    <row r="104" spans="1:17" s="68" customFormat="1">
      <c r="A104" s="348">
        <f t="shared" si="1"/>
        <v>86</v>
      </c>
      <c r="B104" s="348" t="s">
        <v>149</v>
      </c>
      <c r="C104" s="588" t="s">
        <v>1266</v>
      </c>
      <c r="D104" s="589"/>
      <c r="E104" s="590" t="s">
        <v>90</v>
      </c>
      <c r="F104" s="354">
        <v>14</v>
      </c>
      <c r="G104" s="435"/>
      <c r="H104" s="145"/>
      <c r="I104" s="145"/>
      <c r="J104" s="145"/>
      <c r="K104" s="156"/>
      <c r="L104" s="145"/>
      <c r="M104" s="145"/>
      <c r="N104" s="145"/>
      <c r="O104" s="145"/>
      <c r="P104" s="145"/>
      <c r="Q104" s="145"/>
    </row>
    <row r="105" spans="1:17" s="68" customFormat="1">
      <c r="A105" s="348">
        <f t="shared" si="1"/>
        <v>87</v>
      </c>
      <c r="B105" s="348" t="s">
        <v>149</v>
      </c>
      <c r="C105" s="588" t="s">
        <v>1267</v>
      </c>
      <c r="D105" s="589"/>
      <c r="E105" s="590" t="s">
        <v>90</v>
      </c>
      <c r="F105" s="354">
        <v>1</v>
      </c>
      <c r="G105" s="435"/>
      <c r="H105" s="145"/>
      <c r="I105" s="145"/>
      <c r="J105" s="145"/>
      <c r="K105" s="156"/>
      <c r="L105" s="145"/>
      <c r="M105" s="145"/>
      <c r="N105" s="145"/>
      <c r="O105" s="145"/>
      <c r="P105" s="145"/>
      <c r="Q105" s="145"/>
    </row>
    <row r="106" spans="1:17" s="68" customFormat="1" ht="24">
      <c r="A106" s="348">
        <f t="shared" si="1"/>
        <v>88</v>
      </c>
      <c r="B106" s="348" t="s">
        <v>149</v>
      </c>
      <c r="C106" s="588" t="s">
        <v>1268</v>
      </c>
      <c r="D106" s="604"/>
      <c r="E106" s="590" t="s">
        <v>90</v>
      </c>
      <c r="F106" s="354">
        <v>5</v>
      </c>
      <c r="G106" s="590"/>
      <c r="H106" s="145"/>
      <c r="I106" s="145"/>
      <c r="J106" s="145"/>
      <c r="K106" s="156"/>
      <c r="L106" s="145"/>
      <c r="M106" s="145"/>
      <c r="N106" s="145"/>
      <c r="O106" s="145"/>
      <c r="P106" s="145"/>
      <c r="Q106" s="145"/>
    </row>
    <row r="107" spans="1:17" s="68" customFormat="1" ht="36">
      <c r="A107" s="348">
        <f t="shared" si="1"/>
        <v>89</v>
      </c>
      <c r="B107" s="348" t="s">
        <v>149</v>
      </c>
      <c r="C107" s="588" t="s">
        <v>1269</v>
      </c>
      <c r="D107" s="604"/>
      <c r="E107" s="590" t="s">
        <v>90</v>
      </c>
      <c r="F107" s="354">
        <v>6</v>
      </c>
      <c r="G107" s="590"/>
      <c r="H107" s="145"/>
      <c r="I107" s="145"/>
      <c r="J107" s="145"/>
      <c r="K107" s="156"/>
      <c r="L107" s="145"/>
      <c r="M107" s="145"/>
      <c r="N107" s="145"/>
      <c r="O107" s="145"/>
      <c r="P107" s="145"/>
      <c r="Q107" s="145"/>
    </row>
    <row r="108" spans="1:17" s="68" customFormat="1" ht="24">
      <c r="A108" s="348">
        <f t="shared" si="1"/>
        <v>90</v>
      </c>
      <c r="B108" s="348" t="s">
        <v>149</v>
      </c>
      <c r="C108" s="605" t="s">
        <v>1270</v>
      </c>
      <c r="D108" s="604"/>
      <c r="E108" s="590" t="s">
        <v>90</v>
      </c>
      <c r="F108" s="354">
        <v>6</v>
      </c>
      <c r="G108" s="590"/>
      <c r="H108" s="145"/>
      <c r="I108" s="145"/>
      <c r="J108" s="145"/>
      <c r="K108" s="156"/>
      <c r="L108" s="145"/>
      <c r="M108" s="145"/>
      <c r="N108" s="145"/>
      <c r="O108" s="145"/>
      <c r="P108" s="145"/>
      <c r="Q108" s="145"/>
    </row>
    <row r="109" spans="1:17" s="68" customFormat="1">
      <c r="A109" s="380">
        <f t="shared" si="1"/>
        <v>91</v>
      </c>
      <c r="B109" s="380" t="s">
        <v>149</v>
      </c>
      <c r="C109" s="606" t="s">
        <v>1271</v>
      </c>
      <c r="D109" s="607"/>
      <c r="E109" s="594" t="s">
        <v>90</v>
      </c>
      <c r="F109" s="441">
        <v>1</v>
      </c>
      <c r="G109" s="594"/>
      <c r="H109" s="150"/>
      <c r="I109" s="150"/>
      <c r="J109" s="150"/>
      <c r="K109" s="160"/>
      <c r="L109" s="150"/>
      <c r="M109" s="150"/>
      <c r="N109" s="150"/>
      <c r="O109" s="150"/>
      <c r="P109" s="150"/>
      <c r="Q109" s="150"/>
    </row>
    <row r="110" spans="1:17" s="68" customFormat="1">
      <c r="A110" s="370"/>
      <c r="B110" s="370"/>
      <c r="C110" s="584" t="s">
        <v>1272</v>
      </c>
      <c r="D110" s="585"/>
      <c r="E110" s="585"/>
      <c r="F110" s="619"/>
      <c r="G110" s="585"/>
      <c r="H110" s="135"/>
      <c r="I110" s="135"/>
      <c r="J110" s="135"/>
      <c r="K110" s="223"/>
      <c r="L110" s="135"/>
      <c r="M110" s="135"/>
      <c r="N110" s="135"/>
      <c r="O110" s="135"/>
      <c r="P110" s="135"/>
      <c r="Q110" s="135"/>
    </row>
    <row r="111" spans="1:17" s="68" customFormat="1">
      <c r="A111" s="385">
        <f>A109+1</f>
        <v>92</v>
      </c>
      <c r="B111" s="385" t="s">
        <v>149</v>
      </c>
      <c r="C111" s="608" t="s">
        <v>1273</v>
      </c>
      <c r="D111" s="595" t="s">
        <v>1274</v>
      </c>
      <c r="E111" s="587" t="s">
        <v>77</v>
      </c>
      <c r="F111" s="433">
        <v>10</v>
      </c>
      <c r="G111" s="602"/>
      <c r="H111" s="146"/>
      <c r="I111" s="146"/>
      <c r="J111" s="146"/>
      <c r="K111" s="163"/>
      <c r="L111" s="146"/>
      <c r="M111" s="146"/>
      <c r="N111" s="146"/>
      <c r="O111" s="146"/>
      <c r="P111" s="146"/>
      <c r="Q111" s="146"/>
    </row>
    <row r="112" spans="1:17" s="68" customFormat="1">
      <c r="A112" s="348">
        <f t="shared" si="1"/>
        <v>93</v>
      </c>
      <c r="B112" s="348" t="s">
        <v>149</v>
      </c>
      <c r="C112" s="609" t="s">
        <v>1275</v>
      </c>
      <c r="D112" s="589" t="s">
        <v>1276</v>
      </c>
      <c r="E112" s="590" t="s">
        <v>77</v>
      </c>
      <c r="F112" s="354">
        <v>416</v>
      </c>
      <c r="G112" s="483"/>
      <c r="H112" s="145"/>
      <c r="I112" s="145"/>
      <c r="J112" s="145"/>
      <c r="K112" s="156"/>
      <c r="L112" s="145"/>
      <c r="M112" s="145"/>
      <c r="N112" s="145"/>
      <c r="O112" s="145"/>
      <c r="P112" s="145"/>
      <c r="Q112" s="145"/>
    </row>
    <row r="113" spans="1:17" s="68" customFormat="1">
      <c r="A113" s="348">
        <f t="shared" si="1"/>
        <v>94</v>
      </c>
      <c r="B113" s="348" t="s">
        <v>149</v>
      </c>
      <c r="C113" s="609" t="s">
        <v>1275</v>
      </c>
      <c r="D113" s="589" t="s">
        <v>1277</v>
      </c>
      <c r="E113" s="590" t="s">
        <v>77</v>
      </c>
      <c r="F113" s="354">
        <v>10</v>
      </c>
      <c r="G113" s="483"/>
      <c r="H113" s="145"/>
      <c r="I113" s="145"/>
      <c r="J113" s="145"/>
      <c r="K113" s="156"/>
      <c r="L113" s="145"/>
      <c r="M113" s="145"/>
      <c r="N113" s="145"/>
      <c r="O113" s="145"/>
      <c r="P113" s="145"/>
      <c r="Q113" s="145"/>
    </row>
    <row r="114" spans="1:17" s="68" customFormat="1">
      <c r="A114" s="348">
        <f t="shared" si="1"/>
        <v>95</v>
      </c>
      <c r="B114" s="348" t="s">
        <v>149</v>
      </c>
      <c r="C114" s="609" t="s">
        <v>1275</v>
      </c>
      <c r="D114" s="589" t="s">
        <v>1278</v>
      </c>
      <c r="E114" s="590" t="s">
        <v>77</v>
      </c>
      <c r="F114" s="354">
        <v>125</v>
      </c>
      <c r="G114" s="483"/>
      <c r="H114" s="145"/>
      <c r="I114" s="145"/>
      <c r="J114" s="145"/>
      <c r="K114" s="156"/>
      <c r="L114" s="145"/>
      <c r="M114" s="145"/>
      <c r="N114" s="145"/>
      <c r="O114" s="145"/>
      <c r="P114" s="145"/>
      <c r="Q114" s="145"/>
    </row>
    <row r="115" spans="1:17" s="68" customFormat="1">
      <c r="A115" s="348">
        <f t="shared" si="1"/>
        <v>96</v>
      </c>
      <c r="B115" s="348" t="s">
        <v>149</v>
      </c>
      <c r="C115" s="609" t="s">
        <v>1279</v>
      </c>
      <c r="D115" s="589" t="s">
        <v>1280</v>
      </c>
      <c r="E115" s="590" t="s">
        <v>90</v>
      </c>
      <c r="F115" s="354">
        <v>1</v>
      </c>
      <c r="G115" s="435"/>
      <c r="H115" s="145"/>
      <c r="I115" s="145"/>
      <c r="J115" s="145"/>
      <c r="K115" s="156"/>
      <c r="L115" s="145"/>
      <c r="M115" s="145"/>
      <c r="N115" s="145"/>
      <c r="O115" s="145"/>
      <c r="P115" s="145"/>
      <c r="Q115" s="145"/>
    </row>
    <row r="116" spans="1:17" s="68" customFormat="1">
      <c r="A116" s="348">
        <f t="shared" si="1"/>
        <v>97</v>
      </c>
      <c r="B116" s="348" t="s">
        <v>149</v>
      </c>
      <c r="C116" s="609" t="s">
        <v>1281</v>
      </c>
      <c r="D116" s="589" t="s">
        <v>1276</v>
      </c>
      <c r="E116" s="590" t="s">
        <v>90</v>
      </c>
      <c r="F116" s="354">
        <v>1</v>
      </c>
      <c r="G116" s="435"/>
      <c r="H116" s="145"/>
      <c r="I116" s="145"/>
      <c r="J116" s="145"/>
      <c r="K116" s="156"/>
      <c r="L116" s="145"/>
      <c r="M116" s="145"/>
      <c r="N116" s="145"/>
      <c r="O116" s="145"/>
      <c r="P116" s="145"/>
      <c r="Q116" s="145"/>
    </row>
    <row r="117" spans="1:17" s="68" customFormat="1">
      <c r="A117" s="348">
        <f t="shared" si="1"/>
        <v>98</v>
      </c>
      <c r="B117" s="348" t="s">
        <v>149</v>
      </c>
      <c r="C117" s="609" t="s">
        <v>1279</v>
      </c>
      <c r="D117" s="589" t="s">
        <v>1276</v>
      </c>
      <c r="E117" s="590" t="s">
        <v>90</v>
      </c>
      <c r="F117" s="354">
        <v>1</v>
      </c>
      <c r="G117" s="435"/>
      <c r="H117" s="145"/>
      <c r="I117" s="145"/>
      <c r="J117" s="145"/>
      <c r="K117" s="156"/>
      <c r="L117" s="145"/>
      <c r="M117" s="145"/>
      <c r="N117" s="145"/>
      <c r="O117" s="145"/>
      <c r="P117" s="145"/>
      <c r="Q117" s="145"/>
    </row>
    <row r="118" spans="1:17" s="68" customFormat="1">
      <c r="A118" s="348">
        <f t="shared" si="1"/>
        <v>99</v>
      </c>
      <c r="B118" s="348" t="s">
        <v>149</v>
      </c>
      <c r="C118" s="609" t="s">
        <v>1279</v>
      </c>
      <c r="D118" s="589" t="s">
        <v>1277</v>
      </c>
      <c r="E118" s="590" t="s">
        <v>90</v>
      </c>
      <c r="F118" s="354">
        <v>1</v>
      </c>
      <c r="G118" s="435"/>
      <c r="H118" s="145"/>
      <c r="I118" s="145"/>
      <c r="J118" s="145"/>
      <c r="K118" s="156"/>
      <c r="L118" s="145"/>
      <c r="M118" s="145"/>
      <c r="N118" s="145"/>
      <c r="O118" s="145"/>
      <c r="P118" s="145"/>
      <c r="Q118" s="145"/>
    </row>
    <row r="119" spans="1:17" s="68" customFormat="1">
      <c r="A119" s="348">
        <f t="shared" si="1"/>
        <v>100</v>
      </c>
      <c r="B119" s="348" t="s">
        <v>149</v>
      </c>
      <c r="C119" s="609" t="s">
        <v>1279</v>
      </c>
      <c r="D119" s="589" t="s">
        <v>1278</v>
      </c>
      <c r="E119" s="590" t="s">
        <v>90</v>
      </c>
      <c r="F119" s="354">
        <v>1</v>
      </c>
      <c r="G119" s="435"/>
      <c r="H119" s="145"/>
      <c r="I119" s="145"/>
      <c r="J119" s="145"/>
      <c r="K119" s="156"/>
      <c r="L119" s="145"/>
      <c r="M119" s="145"/>
      <c r="N119" s="145"/>
      <c r="O119" s="145"/>
      <c r="P119" s="145"/>
      <c r="Q119" s="145"/>
    </row>
    <row r="120" spans="1:17" s="68" customFormat="1">
      <c r="A120" s="348">
        <f t="shared" si="1"/>
        <v>101</v>
      </c>
      <c r="B120" s="348" t="s">
        <v>149</v>
      </c>
      <c r="C120" s="591" t="s">
        <v>1282</v>
      </c>
      <c r="D120" s="590"/>
      <c r="E120" s="590" t="s">
        <v>77</v>
      </c>
      <c r="F120" s="379">
        <v>350</v>
      </c>
      <c r="G120" s="559"/>
      <c r="H120" s="145"/>
      <c r="I120" s="145"/>
      <c r="J120" s="145"/>
      <c r="K120" s="156"/>
      <c r="L120" s="145"/>
      <c r="M120" s="145"/>
      <c r="N120" s="145"/>
      <c r="O120" s="145"/>
      <c r="P120" s="145"/>
      <c r="Q120" s="145"/>
    </row>
    <row r="121" spans="1:17" s="68" customFormat="1">
      <c r="A121" s="348">
        <f t="shared" si="1"/>
        <v>102</v>
      </c>
      <c r="B121" s="348" t="s">
        <v>149</v>
      </c>
      <c r="C121" s="591" t="s">
        <v>1283</v>
      </c>
      <c r="D121" s="590"/>
      <c r="E121" s="590" t="s">
        <v>77</v>
      </c>
      <c r="F121" s="379">
        <v>10</v>
      </c>
      <c r="G121" s="559"/>
      <c r="H121" s="145"/>
      <c r="I121" s="145"/>
      <c r="J121" s="145"/>
      <c r="K121" s="156"/>
      <c r="L121" s="145"/>
      <c r="M121" s="145"/>
      <c r="N121" s="145"/>
      <c r="O121" s="145"/>
      <c r="P121" s="145"/>
      <c r="Q121" s="145"/>
    </row>
    <row r="122" spans="1:17" s="68" customFormat="1">
      <c r="A122" s="348">
        <f t="shared" si="1"/>
        <v>103</v>
      </c>
      <c r="B122" s="348" t="s">
        <v>149</v>
      </c>
      <c r="C122" s="591" t="s">
        <v>1284</v>
      </c>
      <c r="D122" s="590"/>
      <c r="E122" s="590" t="s">
        <v>77</v>
      </c>
      <c r="F122" s="379">
        <v>50</v>
      </c>
      <c r="G122" s="559"/>
      <c r="H122" s="145"/>
      <c r="I122" s="145"/>
      <c r="J122" s="145"/>
      <c r="K122" s="156"/>
      <c r="L122" s="145"/>
      <c r="M122" s="145"/>
      <c r="N122" s="145"/>
      <c r="O122" s="145"/>
      <c r="P122" s="145"/>
      <c r="Q122" s="145"/>
    </row>
    <row r="123" spans="1:17" s="68" customFormat="1">
      <c r="A123" s="348">
        <f t="shared" si="1"/>
        <v>104</v>
      </c>
      <c r="B123" s="348" t="s">
        <v>149</v>
      </c>
      <c r="C123" s="588" t="s">
        <v>1285</v>
      </c>
      <c r="D123" s="589" t="s">
        <v>1276</v>
      </c>
      <c r="E123" s="590" t="s">
        <v>93</v>
      </c>
      <c r="F123" s="354">
        <v>14</v>
      </c>
      <c r="G123" s="435"/>
      <c r="H123" s="145"/>
      <c r="I123" s="145"/>
      <c r="J123" s="145"/>
      <c r="K123" s="156"/>
      <c r="L123" s="145"/>
      <c r="M123" s="145"/>
      <c r="N123" s="145"/>
      <c r="O123" s="145"/>
      <c r="P123" s="145"/>
      <c r="Q123" s="145"/>
    </row>
    <row r="124" spans="1:17" s="68" customFormat="1">
      <c r="A124" s="348">
        <f t="shared" si="1"/>
        <v>105</v>
      </c>
      <c r="B124" s="348" t="s">
        <v>149</v>
      </c>
      <c r="C124" s="588" t="s">
        <v>1286</v>
      </c>
      <c r="D124" s="589" t="s">
        <v>975</v>
      </c>
      <c r="E124" s="590" t="s">
        <v>93</v>
      </c>
      <c r="F124" s="354">
        <v>6</v>
      </c>
      <c r="G124" s="435"/>
      <c r="H124" s="145"/>
      <c r="I124" s="145"/>
      <c r="J124" s="145"/>
      <c r="K124" s="156"/>
      <c r="L124" s="145"/>
      <c r="M124" s="145"/>
      <c r="N124" s="145"/>
      <c r="O124" s="145"/>
      <c r="P124" s="145"/>
      <c r="Q124" s="145"/>
    </row>
    <row r="125" spans="1:17" s="68" customFormat="1">
      <c r="A125" s="348">
        <f t="shared" si="1"/>
        <v>106</v>
      </c>
      <c r="B125" s="348" t="s">
        <v>149</v>
      </c>
      <c r="C125" s="588" t="s">
        <v>1287</v>
      </c>
      <c r="D125" s="589" t="s">
        <v>975</v>
      </c>
      <c r="E125" s="590" t="s">
        <v>93</v>
      </c>
      <c r="F125" s="354">
        <v>3</v>
      </c>
      <c r="G125" s="435"/>
      <c r="H125" s="145"/>
      <c r="I125" s="145"/>
      <c r="J125" s="145"/>
      <c r="K125" s="156"/>
      <c r="L125" s="145"/>
      <c r="M125" s="145"/>
      <c r="N125" s="145"/>
      <c r="O125" s="145"/>
      <c r="P125" s="145"/>
      <c r="Q125" s="145"/>
    </row>
    <row r="126" spans="1:17" s="68" customFormat="1">
      <c r="A126" s="348">
        <f t="shared" si="1"/>
        <v>107</v>
      </c>
      <c r="B126" s="348" t="s">
        <v>149</v>
      </c>
      <c r="C126" s="588" t="s">
        <v>1288</v>
      </c>
      <c r="D126" s="589" t="s">
        <v>1289</v>
      </c>
      <c r="E126" s="590" t="s">
        <v>93</v>
      </c>
      <c r="F126" s="354">
        <v>5</v>
      </c>
      <c r="G126" s="435"/>
      <c r="H126" s="145"/>
      <c r="I126" s="145"/>
      <c r="J126" s="145"/>
      <c r="K126" s="156"/>
      <c r="L126" s="145"/>
      <c r="M126" s="145"/>
      <c r="N126" s="145"/>
      <c r="O126" s="145"/>
      <c r="P126" s="145"/>
      <c r="Q126" s="145"/>
    </row>
    <row r="127" spans="1:17" s="68" customFormat="1">
      <c r="A127" s="348">
        <f t="shared" si="1"/>
        <v>108</v>
      </c>
      <c r="B127" s="348" t="s">
        <v>149</v>
      </c>
      <c r="C127" s="588" t="s">
        <v>1288</v>
      </c>
      <c r="D127" s="589" t="s">
        <v>975</v>
      </c>
      <c r="E127" s="590" t="s">
        <v>93</v>
      </c>
      <c r="F127" s="354">
        <v>8</v>
      </c>
      <c r="G127" s="435"/>
      <c r="H127" s="145"/>
      <c r="I127" s="145"/>
      <c r="J127" s="145"/>
      <c r="K127" s="156"/>
      <c r="L127" s="145"/>
      <c r="M127" s="145"/>
      <c r="N127" s="145"/>
      <c r="O127" s="145"/>
      <c r="P127" s="145"/>
      <c r="Q127" s="145"/>
    </row>
    <row r="128" spans="1:17" s="68" customFormat="1" ht="48">
      <c r="A128" s="348">
        <f t="shared" si="1"/>
        <v>109</v>
      </c>
      <c r="B128" s="348" t="s">
        <v>149</v>
      </c>
      <c r="C128" s="609" t="s">
        <v>1290</v>
      </c>
      <c r="D128" s="590" t="s">
        <v>975</v>
      </c>
      <c r="E128" s="590" t="s">
        <v>93</v>
      </c>
      <c r="F128" s="354">
        <v>4</v>
      </c>
      <c r="G128" s="590"/>
      <c r="H128" s="145"/>
      <c r="I128" s="145"/>
      <c r="J128" s="145"/>
      <c r="K128" s="156"/>
      <c r="L128" s="145"/>
      <c r="M128" s="145"/>
      <c r="N128" s="145"/>
      <c r="O128" s="145"/>
      <c r="P128" s="145"/>
      <c r="Q128" s="145"/>
    </row>
    <row r="129" spans="1:204" s="68" customFormat="1">
      <c r="A129" s="348">
        <f t="shared" si="1"/>
        <v>110</v>
      </c>
      <c r="B129" s="348" t="s">
        <v>149</v>
      </c>
      <c r="C129" s="610" t="s">
        <v>1291</v>
      </c>
      <c r="D129" s="604"/>
      <c r="E129" s="590" t="s">
        <v>77</v>
      </c>
      <c r="F129" s="354">
        <f>SUM(F111:F114)</f>
        <v>561</v>
      </c>
      <c r="G129" s="483"/>
      <c r="H129" s="145"/>
      <c r="I129" s="145"/>
      <c r="J129" s="145"/>
      <c r="K129" s="156"/>
      <c r="L129" s="145"/>
      <c r="M129" s="145"/>
      <c r="N129" s="145"/>
      <c r="O129" s="145"/>
      <c r="P129" s="145"/>
      <c r="Q129" s="145"/>
    </row>
    <row r="130" spans="1:204" s="68" customFormat="1">
      <c r="A130" s="348">
        <f t="shared" si="1"/>
        <v>111</v>
      </c>
      <c r="B130" s="348" t="s">
        <v>149</v>
      </c>
      <c r="C130" s="588" t="s">
        <v>1292</v>
      </c>
      <c r="D130" s="589" t="s">
        <v>975</v>
      </c>
      <c r="E130" s="590" t="s">
        <v>93</v>
      </c>
      <c r="F130" s="354">
        <v>16</v>
      </c>
      <c r="G130" s="435"/>
      <c r="H130" s="145"/>
      <c r="I130" s="145"/>
      <c r="J130" s="145"/>
      <c r="K130" s="156"/>
      <c r="L130" s="145"/>
      <c r="M130" s="145"/>
      <c r="N130" s="145"/>
      <c r="O130" s="145"/>
      <c r="P130" s="145"/>
      <c r="Q130" s="145"/>
    </row>
    <row r="131" spans="1:204" s="68" customFormat="1">
      <c r="A131" s="348">
        <f t="shared" si="1"/>
        <v>112</v>
      </c>
      <c r="B131" s="348" t="s">
        <v>149</v>
      </c>
      <c r="C131" s="588" t="s">
        <v>1292</v>
      </c>
      <c r="D131" s="589" t="s">
        <v>1293</v>
      </c>
      <c r="E131" s="590" t="s">
        <v>93</v>
      </c>
      <c r="F131" s="354">
        <v>1</v>
      </c>
      <c r="G131" s="435"/>
      <c r="H131" s="145"/>
      <c r="I131" s="145"/>
      <c r="J131" s="145"/>
      <c r="K131" s="156"/>
      <c r="L131" s="145"/>
      <c r="M131" s="145"/>
      <c r="N131" s="145"/>
      <c r="O131" s="145"/>
      <c r="P131" s="145"/>
      <c r="Q131" s="145"/>
    </row>
    <row r="132" spans="1:204" s="68" customFormat="1">
      <c r="A132" s="348">
        <f t="shared" si="1"/>
        <v>113</v>
      </c>
      <c r="B132" s="348" t="s">
        <v>149</v>
      </c>
      <c r="C132" s="588" t="s">
        <v>1292</v>
      </c>
      <c r="D132" s="589" t="s">
        <v>1289</v>
      </c>
      <c r="E132" s="590" t="s">
        <v>93</v>
      </c>
      <c r="F132" s="354">
        <v>15</v>
      </c>
      <c r="G132" s="435"/>
      <c r="H132" s="145"/>
      <c r="I132" s="145"/>
      <c r="J132" s="145"/>
      <c r="K132" s="156"/>
      <c r="L132" s="145"/>
      <c r="M132" s="145"/>
      <c r="N132" s="145"/>
      <c r="O132" s="145"/>
      <c r="P132" s="145"/>
      <c r="Q132" s="145"/>
    </row>
    <row r="133" spans="1:204" s="68" customFormat="1">
      <c r="A133" s="348">
        <f t="shared" si="1"/>
        <v>114</v>
      </c>
      <c r="B133" s="348" t="s">
        <v>149</v>
      </c>
      <c r="C133" s="588" t="s">
        <v>1294</v>
      </c>
      <c r="D133" s="589"/>
      <c r="E133" s="590" t="s">
        <v>90</v>
      </c>
      <c r="F133" s="354">
        <v>1</v>
      </c>
      <c r="G133" s="435"/>
      <c r="H133" s="145"/>
      <c r="I133" s="145"/>
      <c r="J133" s="145"/>
      <c r="K133" s="156"/>
      <c r="L133" s="145"/>
      <c r="M133" s="145"/>
      <c r="N133" s="145"/>
      <c r="O133" s="145"/>
      <c r="P133" s="145"/>
      <c r="Q133" s="145"/>
    </row>
    <row r="134" spans="1:204" s="68" customFormat="1" ht="24">
      <c r="A134" s="380">
        <f t="shared" si="1"/>
        <v>115</v>
      </c>
      <c r="B134" s="380" t="s">
        <v>149</v>
      </c>
      <c r="C134" s="611" t="s">
        <v>1295</v>
      </c>
      <c r="D134" s="594"/>
      <c r="E134" s="594" t="s">
        <v>90</v>
      </c>
      <c r="F134" s="441">
        <v>1</v>
      </c>
      <c r="G134" s="594"/>
      <c r="H134" s="150"/>
      <c r="I134" s="150"/>
      <c r="J134" s="150"/>
      <c r="K134" s="160"/>
      <c r="L134" s="150"/>
      <c r="M134" s="150"/>
      <c r="N134" s="150"/>
      <c r="O134" s="150"/>
      <c r="P134" s="150"/>
      <c r="Q134" s="150"/>
    </row>
    <row r="135" spans="1:204" s="68" customFormat="1">
      <c r="A135" s="370"/>
      <c r="B135" s="370"/>
      <c r="C135" s="601" t="s">
        <v>1296</v>
      </c>
      <c r="D135" s="585"/>
      <c r="E135" s="585"/>
      <c r="F135" s="619"/>
      <c r="G135" s="585"/>
      <c r="H135" s="135"/>
      <c r="I135" s="135"/>
      <c r="J135" s="135"/>
      <c r="K135" s="223"/>
      <c r="L135" s="135"/>
      <c r="M135" s="135"/>
      <c r="N135" s="135"/>
      <c r="O135" s="135"/>
      <c r="P135" s="135"/>
      <c r="Q135" s="135"/>
    </row>
    <row r="136" spans="1:204" s="68" customFormat="1">
      <c r="A136" s="373">
        <f>A134+1</f>
        <v>116</v>
      </c>
      <c r="B136" s="373" t="s">
        <v>149</v>
      </c>
      <c r="C136" s="612" t="s">
        <v>1297</v>
      </c>
      <c r="D136" s="613" t="s">
        <v>1276</v>
      </c>
      <c r="E136" s="613" t="s">
        <v>90</v>
      </c>
      <c r="F136" s="440">
        <v>9</v>
      </c>
      <c r="G136" s="614"/>
      <c r="H136" s="153"/>
      <c r="I136" s="153"/>
      <c r="J136" s="153"/>
      <c r="K136" s="175"/>
      <c r="L136" s="153"/>
      <c r="M136" s="153"/>
      <c r="N136" s="153"/>
      <c r="O136" s="153"/>
      <c r="P136" s="153"/>
      <c r="Q136" s="153"/>
    </row>
    <row r="137" spans="1:204" s="68" customFormat="1">
      <c r="A137" s="370"/>
      <c r="B137" s="370"/>
      <c r="C137" s="615" t="s">
        <v>1298</v>
      </c>
      <c r="D137" s="616"/>
      <c r="E137" s="616"/>
      <c r="F137" s="597"/>
      <c r="G137" s="616"/>
      <c r="H137" s="135"/>
      <c r="I137" s="135"/>
      <c r="J137" s="135"/>
      <c r="K137" s="223"/>
      <c r="L137" s="135"/>
      <c r="M137" s="135"/>
      <c r="N137" s="135"/>
      <c r="O137" s="135"/>
      <c r="P137" s="135"/>
      <c r="Q137" s="135"/>
    </row>
    <row r="138" spans="1:204" s="68" customFormat="1">
      <c r="A138" s="385">
        <f>A136+1</f>
        <v>117</v>
      </c>
      <c r="B138" s="385" t="s">
        <v>149</v>
      </c>
      <c r="C138" s="586" t="s">
        <v>1299</v>
      </c>
      <c r="D138" s="595" t="s">
        <v>1196</v>
      </c>
      <c r="E138" s="595" t="s">
        <v>77</v>
      </c>
      <c r="F138" s="620">
        <v>30</v>
      </c>
      <c r="G138" s="595"/>
      <c r="H138" s="146"/>
      <c r="I138" s="146"/>
      <c r="J138" s="146"/>
      <c r="K138" s="163"/>
      <c r="L138" s="146"/>
      <c r="M138" s="146"/>
      <c r="N138" s="146"/>
      <c r="O138" s="146"/>
      <c r="P138" s="146"/>
      <c r="Q138" s="146"/>
    </row>
    <row r="139" spans="1:204" s="68" customFormat="1">
      <c r="A139" s="348">
        <f t="shared" ref="A139:A141" si="2">A138+1</f>
        <v>118</v>
      </c>
      <c r="B139" s="348" t="s">
        <v>149</v>
      </c>
      <c r="C139" s="600" t="s">
        <v>1300</v>
      </c>
      <c r="D139" s="617"/>
      <c r="E139" s="589" t="s">
        <v>77</v>
      </c>
      <c r="F139" s="621">
        <v>30</v>
      </c>
      <c r="G139" s="589"/>
      <c r="H139" s="145"/>
      <c r="I139" s="145"/>
      <c r="J139" s="145"/>
      <c r="K139" s="156"/>
      <c r="L139" s="145"/>
      <c r="M139" s="145"/>
      <c r="N139" s="145"/>
      <c r="O139" s="145"/>
      <c r="P139" s="145"/>
      <c r="Q139" s="145"/>
    </row>
    <row r="140" spans="1:204" s="68" customFormat="1">
      <c r="A140" s="348">
        <f t="shared" si="2"/>
        <v>119</v>
      </c>
      <c r="B140" s="348" t="s">
        <v>149</v>
      </c>
      <c r="C140" s="588" t="s">
        <v>1301</v>
      </c>
      <c r="D140" s="617"/>
      <c r="E140" s="589" t="s">
        <v>90</v>
      </c>
      <c r="F140" s="621">
        <v>2</v>
      </c>
      <c r="G140" s="589"/>
      <c r="H140" s="145"/>
      <c r="I140" s="145"/>
      <c r="J140" s="145"/>
      <c r="K140" s="156"/>
      <c r="L140" s="145"/>
      <c r="M140" s="145"/>
      <c r="N140" s="145"/>
      <c r="O140" s="145"/>
      <c r="P140" s="145"/>
      <c r="Q140" s="145"/>
    </row>
    <row r="141" spans="1:204" s="68" customFormat="1" ht="24">
      <c r="A141" s="348">
        <f t="shared" si="2"/>
        <v>120</v>
      </c>
      <c r="B141" s="348" t="s">
        <v>149</v>
      </c>
      <c r="C141" s="618" t="s">
        <v>1216</v>
      </c>
      <c r="D141" s="617"/>
      <c r="E141" s="589" t="s">
        <v>90</v>
      </c>
      <c r="F141" s="621">
        <v>1</v>
      </c>
      <c r="G141" s="589"/>
      <c r="H141" s="145"/>
      <c r="I141" s="145"/>
      <c r="J141" s="145"/>
      <c r="K141" s="156"/>
      <c r="L141" s="145"/>
      <c r="M141" s="145"/>
      <c r="N141" s="145"/>
      <c r="O141" s="145"/>
      <c r="P141" s="145"/>
      <c r="Q141" s="145"/>
    </row>
    <row r="142" spans="1:204">
      <c r="A142" s="890" t="s">
        <v>177</v>
      </c>
      <c r="B142" s="890"/>
      <c r="C142" s="890"/>
      <c r="D142" s="890"/>
      <c r="E142" s="890"/>
      <c r="F142" s="890"/>
      <c r="G142" s="890"/>
      <c r="H142" s="890"/>
      <c r="I142" s="890"/>
      <c r="J142" s="890"/>
      <c r="K142" s="890"/>
      <c r="L142" s="890"/>
      <c r="M142" s="144">
        <f>SUM(M14:M141)</f>
        <v>0</v>
      </c>
      <c r="N142" s="144">
        <f>SUM(N14:N141)</f>
        <v>0</v>
      </c>
      <c r="O142" s="144">
        <f>SUM(O14:O141)</f>
        <v>0</v>
      </c>
      <c r="P142" s="144">
        <f>SUM(P14:P141)</f>
        <v>0</v>
      </c>
      <c r="Q142" s="144">
        <f>SUM(Q14:Q141)</f>
        <v>0</v>
      </c>
    </row>
    <row r="143" spans="1:204" s="50" customFormat="1" collapsed="1">
      <c r="A143" s="885" t="s">
        <v>36</v>
      </c>
      <c r="B143" s="885"/>
      <c r="C143" s="1"/>
      <c r="D143" s="1"/>
      <c r="E143" s="1"/>
      <c r="F143" s="98"/>
      <c r="G143" s="1"/>
      <c r="H143" s="1"/>
      <c r="I143" s="1"/>
      <c r="J143" s="1"/>
      <c r="K143" s="1"/>
      <c r="L143" s="1"/>
      <c r="M143" s="1"/>
      <c r="N143" s="1"/>
      <c r="O143" s="1"/>
      <c r="P143" s="1"/>
      <c r="Q143" s="1"/>
    </row>
    <row r="144" spans="1:204" s="50" customFormat="1">
      <c r="A144" s="886" t="s">
        <v>56</v>
      </c>
      <c r="B144" s="886"/>
      <c r="C144" s="886"/>
      <c r="D144" s="886"/>
      <c r="E144" s="886"/>
      <c r="F144" s="886"/>
      <c r="G144" s="886"/>
      <c r="H144" s="886"/>
      <c r="I144" s="886"/>
      <c r="J144" s="886"/>
      <c r="K144" s="886"/>
      <c r="L144" s="886"/>
      <c r="M144" s="886"/>
      <c r="N144" s="886"/>
      <c r="O144" s="886"/>
      <c r="P144" s="886"/>
      <c r="Q144" s="886"/>
      <c r="R144" s="50">
        <f>'2.2'!BP608</f>
        <v>0</v>
      </c>
      <c r="S144" s="50">
        <f>'2.2'!BQ608</f>
        <v>0</v>
      </c>
      <c r="T144" s="50">
        <f>'2.2'!BR608</f>
        <v>0</v>
      </c>
      <c r="U144" s="50">
        <f>'2.2'!BS608</f>
        <v>0</v>
      </c>
      <c r="V144" s="50">
        <f>'2.2'!BT608</f>
        <v>0</v>
      </c>
      <c r="W144" s="50">
        <f>'2.2'!BU608</f>
        <v>0</v>
      </c>
      <c r="X144" s="50">
        <f>'2.2'!BV608</f>
        <v>0</v>
      </c>
      <c r="Y144" s="50">
        <f>'2.2'!BW608</f>
        <v>0</v>
      </c>
      <c r="Z144" s="50">
        <f>'2.2'!BX608</f>
        <v>0</v>
      </c>
      <c r="AA144" s="50">
        <f>'2.2'!BY608</f>
        <v>0</v>
      </c>
      <c r="AB144" s="50">
        <f>'2.2'!BZ608</f>
        <v>0</v>
      </c>
      <c r="AC144" s="50">
        <f>'2.2'!CA608</f>
        <v>0</v>
      </c>
      <c r="AD144" s="50">
        <f>'2.2'!CB608</f>
        <v>0</v>
      </c>
      <c r="AE144" s="50">
        <f>'2.2'!CC608</f>
        <v>0</v>
      </c>
      <c r="AF144" s="50">
        <f>'2.2'!CD608</f>
        <v>0</v>
      </c>
      <c r="AG144" s="50">
        <f>'2.2'!CE608</f>
        <v>0</v>
      </c>
      <c r="AH144" s="50">
        <f>'2.2'!CF608</f>
        <v>0</v>
      </c>
      <c r="AI144" s="50">
        <f>'2.2'!CG608</f>
        <v>0</v>
      </c>
      <c r="AJ144" s="50">
        <f>'2.2'!CH608</f>
        <v>0</v>
      </c>
      <c r="AK144" s="50">
        <f>'2.2'!CI608</f>
        <v>0</v>
      </c>
      <c r="AL144" s="50">
        <f>'2.2'!CJ608</f>
        <v>0</v>
      </c>
      <c r="AM144" s="50">
        <f>'2.2'!CK608</f>
        <v>0</v>
      </c>
      <c r="AN144" s="50">
        <f>'2.2'!CL608</f>
        <v>0</v>
      </c>
      <c r="AO144" s="50">
        <f>'2.2'!CM608</f>
        <v>0</v>
      </c>
      <c r="AP144" s="50">
        <f>'2.2'!CN608</f>
        <v>0</v>
      </c>
      <c r="AQ144" s="50">
        <f>'2.2'!CO608</f>
        <v>0</v>
      </c>
      <c r="AR144" s="50">
        <f>'2.2'!CP608</f>
        <v>0</v>
      </c>
      <c r="AS144" s="50">
        <f>'2.2'!CQ608</f>
        <v>0</v>
      </c>
      <c r="AT144" s="50">
        <f>'2.2'!CR608</f>
        <v>0</v>
      </c>
      <c r="AU144" s="50">
        <f>'2.2'!CS608</f>
        <v>0</v>
      </c>
      <c r="AV144" s="50">
        <f>'2.2'!CT608</f>
        <v>0</v>
      </c>
      <c r="AW144" s="50">
        <f>'2.2'!CU608</f>
        <v>0</v>
      </c>
      <c r="AX144" s="50">
        <f>'2.2'!CV608</f>
        <v>0</v>
      </c>
      <c r="AY144" s="50">
        <f>'2.2'!CW608</f>
        <v>0</v>
      </c>
      <c r="AZ144" s="50">
        <f>'2.2'!CX608</f>
        <v>0</v>
      </c>
      <c r="BA144" s="50">
        <f>'2.2'!CY608</f>
        <v>0</v>
      </c>
      <c r="BB144" s="50">
        <f>'2.2'!CZ608</f>
        <v>0</v>
      </c>
      <c r="BC144" s="50">
        <f>'2.2'!DA608</f>
        <v>0</v>
      </c>
      <c r="BD144" s="50">
        <f>'2.2'!DB608</f>
        <v>0</v>
      </c>
      <c r="BE144" s="50">
        <f>'2.2'!DC608</f>
        <v>0</v>
      </c>
      <c r="BF144" s="50">
        <f>'2.2'!DD608</f>
        <v>0</v>
      </c>
      <c r="BG144" s="50">
        <f>'2.2'!DE608</f>
        <v>0</v>
      </c>
      <c r="BH144" s="50">
        <f>'2.2'!DF608</f>
        <v>0</v>
      </c>
      <c r="BI144" s="50">
        <f>'2.2'!DG608</f>
        <v>0</v>
      </c>
      <c r="BJ144" s="50">
        <f>'2.2'!DH608</f>
        <v>0</v>
      </c>
      <c r="BK144" s="50">
        <f>'2.2'!DI608</f>
        <v>0</v>
      </c>
      <c r="BL144" s="50">
        <f>'2.2'!DJ608</f>
        <v>0</v>
      </c>
      <c r="BM144" s="50">
        <f>'2.2'!DK608</f>
        <v>0</v>
      </c>
      <c r="BN144" s="50">
        <f>'2.2'!DL608</f>
        <v>0</v>
      </c>
      <c r="BO144" s="50">
        <f>'2.2'!DM608</f>
        <v>0</v>
      </c>
      <c r="BP144" s="50">
        <f>'2.2'!DN608</f>
        <v>0</v>
      </c>
      <c r="BQ144" s="50">
        <f>'2.2'!DO608</f>
        <v>0</v>
      </c>
      <c r="BR144" s="50">
        <f>'2.2'!DP608</f>
        <v>0</v>
      </c>
      <c r="BS144" s="50">
        <f>'2.2'!DQ608</f>
        <v>0</v>
      </c>
      <c r="BT144" s="50">
        <f>'2.2'!DR608</f>
        <v>0</v>
      </c>
      <c r="BU144" s="50">
        <f>'2.2'!DS608</f>
        <v>0</v>
      </c>
      <c r="BV144" s="50">
        <f>'2.2'!DT608</f>
        <v>0</v>
      </c>
      <c r="BW144" s="50">
        <f>'2.2'!DU608</f>
        <v>0</v>
      </c>
      <c r="BX144" s="50">
        <f>'2.2'!DV608</f>
        <v>0</v>
      </c>
      <c r="BY144" s="50">
        <f>'2.2'!DW608</f>
        <v>0</v>
      </c>
      <c r="BZ144" s="50">
        <f>'2.2'!DX608</f>
        <v>0</v>
      </c>
      <c r="CA144" s="50">
        <f>'2.2'!DY608</f>
        <v>0</v>
      </c>
      <c r="CB144" s="50">
        <f>'2.2'!DZ608</f>
        <v>0</v>
      </c>
      <c r="CC144" s="50">
        <f>'2.2'!EA608</f>
        <v>0</v>
      </c>
      <c r="CD144" s="50">
        <f>'2.2'!EB608</f>
        <v>0</v>
      </c>
      <c r="CE144" s="50">
        <f>'2.2'!EC608</f>
        <v>0</v>
      </c>
      <c r="CF144" s="50">
        <f>'2.2'!ED608</f>
        <v>0</v>
      </c>
      <c r="CG144" s="50">
        <f>'2.2'!EE608</f>
        <v>0</v>
      </c>
      <c r="CH144" s="50">
        <f>'2.2'!EF608</f>
        <v>0</v>
      </c>
      <c r="CI144" s="50">
        <f>'2.2'!EG608</f>
        <v>0</v>
      </c>
      <c r="CJ144" s="50">
        <f>'2.2'!EH608</f>
        <v>0</v>
      </c>
      <c r="CK144" s="50">
        <f>'2.2'!EI608</f>
        <v>0</v>
      </c>
      <c r="CL144" s="50">
        <f>'2.2'!EJ608</f>
        <v>0</v>
      </c>
      <c r="CM144" s="50">
        <f>'2.2'!EK608</f>
        <v>0</v>
      </c>
      <c r="CN144" s="50">
        <f>'2.2'!EL608</f>
        <v>0</v>
      </c>
      <c r="CO144" s="50">
        <f>'2.2'!EM608</f>
        <v>0</v>
      </c>
      <c r="CP144" s="50">
        <f>'2.2'!EN608</f>
        <v>0</v>
      </c>
      <c r="CQ144" s="50">
        <f>'2.2'!EO608</f>
        <v>0</v>
      </c>
      <c r="CR144" s="50">
        <f>'2.2'!EP608</f>
        <v>0</v>
      </c>
      <c r="CS144" s="50">
        <f>'2.2'!EQ608</f>
        <v>0</v>
      </c>
      <c r="CT144" s="50">
        <f>'2.2'!ER608</f>
        <v>0</v>
      </c>
      <c r="CU144" s="50">
        <f>'2.2'!ES608</f>
        <v>0</v>
      </c>
      <c r="CV144" s="50">
        <f>'2.2'!ET608</f>
        <v>0</v>
      </c>
      <c r="CW144" s="50">
        <f>'2.2'!EU608</f>
        <v>0</v>
      </c>
      <c r="CX144" s="50">
        <f>'2.2'!EV608</f>
        <v>0</v>
      </c>
      <c r="CY144" s="50">
        <f>'2.2'!EW608</f>
        <v>0</v>
      </c>
      <c r="CZ144" s="50">
        <f>'2.2'!EX608</f>
        <v>0</v>
      </c>
      <c r="DA144" s="50">
        <f>'2.2'!EY608</f>
        <v>0</v>
      </c>
      <c r="DB144" s="50">
        <f>'2.2'!EZ608</f>
        <v>0</v>
      </c>
      <c r="DC144" s="50">
        <f>'2.2'!FA608</f>
        <v>0</v>
      </c>
      <c r="DD144" s="50">
        <f>'2.2'!FB608</f>
        <v>0</v>
      </c>
      <c r="DE144" s="50">
        <f>'2.2'!FC608</f>
        <v>0</v>
      </c>
      <c r="DF144" s="50">
        <f>'2.2'!FD608</f>
        <v>0</v>
      </c>
      <c r="DG144" s="50">
        <f>'2.2'!FE608</f>
        <v>0</v>
      </c>
      <c r="DH144" s="50">
        <f>'2.2'!FF608</f>
        <v>0</v>
      </c>
      <c r="DI144" s="50">
        <f>'2.2'!FG608</f>
        <v>0</v>
      </c>
      <c r="DJ144" s="50">
        <f>'2.2'!FH608</f>
        <v>0</v>
      </c>
      <c r="DK144" s="50">
        <f>'2.2'!FI608</f>
        <v>0</v>
      </c>
      <c r="DL144" s="50">
        <f>'2.2'!FJ608</f>
        <v>0</v>
      </c>
      <c r="DM144" s="50">
        <f>'2.2'!FK608</f>
        <v>0</v>
      </c>
      <c r="DN144" s="50">
        <f>'2.2'!FL608</f>
        <v>0</v>
      </c>
      <c r="DO144" s="50">
        <f>'2.2'!FM608</f>
        <v>0</v>
      </c>
      <c r="DP144" s="50">
        <f>'2.2'!FN608</f>
        <v>0</v>
      </c>
      <c r="DQ144" s="50">
        <f>'2.2'!FO608</f>
        <v>0</v>
      </c>
      <c r="DR144" s="50">
        <f>'2.2'!FP608</f>
        <v>0</v>
      </c>
      <c r="DS144" s="50">
        <f>'2.2'!FQ608</f>
        <v>0</v>
      </c>
      <c r="DT144" s="50">
        <f>'2.2'!FR608</f>
        <v>0</v>
      </c>
      <c r="DU144" s="50">
        <f>'2.2'!FS608</f>
        <v>0</v>
      </c>
      <c r="DV144" s="50">
        <f>'2.2'!FT608</f>
        <v>0</v>
      </c>
      <c r="DW144" s="50">
        <f>'2.2'!FU608</f>
        <v>0</v>
      </c>
      <c r="DX144" s="50">
        <f>'2.2'!FV608</f>
        <v>0</v>
      </c>
      <c r="DY144" s="50">
        <f>'2.2'!FW608</f>
        <v>0</v>
      </c>
      <c r="DZ144" s="50">
        <f>'2.2'!FX608</f>
        <v>0</v>
      </c>
      <c r="EA144" s="50">
        <f>'2.2'!FY608</f>
        <v>0</v>
      </c>
      <c r="EB144" s="50">
        <f>'2.2'!FZ608</f>
        <v>0</v>
      </c>
      <c r="EC144" s="50">
        <f>'2.2'!GA608</f>
        <v>0</v>
      </c>
      <c r="ED144" s="50">
        <f>'2.2'!GB608</f>
        <v>0</v>
      </c>
      <c r="EE144" s="50">
        <f>'2.2'!GC608</f>
        <v>0</v>
      </c>
      <c r="EF144" s="50">
        <f>'2.2'!GD608</f>
        <v>0</v>
      </c>
      <c r="EG144" s="50">
        <f>'2.2'!GE608</f>
        <v>0</v>
      </c>
      <c r="EH144" s="50">
        <f>'2.2'!GF608</f>
        <v>0</v>
      </c>
      <c r="EI144" s="50">
        <f>'2.2'!GG608</f>
        <v>0</v>
      </c>
      <c r="EJ144" s="50">
        <f>'2.2'!GH608</f>
        <v>0</v>
      </c>
      <c r="EK144" s="50">
        <f>'2.2'!GI608</f>
        <v>0</v>
      </c>
      <c r="EL144" s="50">
        <f>'2.2'!GJ608</f>
        <v>0</v>
      </c>
      <c r="EM144" s="50">
        <f>'2.2'!GK608</f>
        <v>0</v>
      </c>
      <c r="EN144" s="50">
        <f>'2.2'!GL608</f>
        <v>0</v>
      </c>
      <c r="EO144" s="50">
        <f>'2.2'!GM608</f>
        <v>0</v>
      </c>
      <c r="EP144" s="50">
        <f>'2.2'!GN608</f>
        <v>0</v>
      </c>
      <c r="EQ144" s="50">
        <f>'2.2'!GO608</f>
        <v>0</v>
      </c>
      <c r="ER144" s="50">
        <f>'2.2'!GP608</f>
        <v>0</v>
      </c>
      <c r="ES144" s="50">
        <f>'2.2'!GQ608</f>
        <v>0</v>
      </c>
      <c r="ET144" s="50">
        <f>'2.2'!GR608</f>
        <v>0</v>
      </c>
      <c r="EU144" s="50">
        <f>'2.2'!GS608</f>
        <v>0</v>
      </c>
      <c r="EV144" s="50">
        <f>'2.2'!GT608</f>
        <v>0</v>
      </c>
      <c r="EW144" s="50">
        <f>'2.2'!GU608</f>
        <v>0</v>
      </c>
      <c r="EX144" s="50">
        <f>'2.2'!GV608</f>
        <v>0</v>
      </c>
      <c r="EY144" s="50">
        <f>'2.2'!GW608</f>
        <v>0</v>
      </c>
      <c r="EZ144" s="50">
        <f>'2.2'!GX608</f>
        <v>0</v>
      </c>
      <c r="FA144" s="50">
        <f>'2.2'!GY608</f>
        <v>0</v>
      </c>
      <c r="FB144" s="50">
        <f>'2.2'!GZ608</f>
        <v>0</v>
      </c>
      <c r="FC144" s="50">
        <f>'2.2'!HA608</f>
        <v>0</v>
      </c>
      <c r="FD144" s="50">
        <f>'2.2'!HB608</f>
        <v>0</v>
      </c>
      <c r="FE144" s="50">
        <f>'2.2'!HC608</f>
        <v>0</v>
      </c>
      <c r="FF144" s="50">
        <f>'2.2'!HD608</f>
        <v>0</v>
      </c>
      <c r="FG144" s="50">
        <f>'2.2'!HE608</f>
        <v>0</v>
      </c>
      <c r="FH144" s="50">
        <f>'2.2'!HF608</f>
        <v>0</v>
      </c>
      <c r="FI144" s="50">
        <f>'2.2'!HG608</f>
        <v>0</v>
      </c>
      <c r="FJ144" s="50">
        <f>'2.2'!HH608</f>
        <v>0</v>
      </c>
      <c r="FK144" s="50">
        <f>'2.2'!HI608</f>
        <v>0</v>
      </c>
      <c r="FL144" s="50">
        <f>'2.2'!HJ608</f>
        <v>0</v>
      </c>
      <c r="FM144" s="50">
        <f>'2.2'!HK608</f>
        <v>0</v>
      </c>
      <c r="FN144" s="50">
        <f>'2.2'!HL608</f>
        <v>0</v>
      </c>
      <c r="FO144" s="50">
        <f>'2.2'!HM608</f>
        <v>0</v>
      </c>
      <c r="FP144" s="50">
        <f>'2.2'!HN608</f>
        <v>0</v>
      </c>
      <c r="FQ144" s="50">
        <f>'2.2'!HO608</f>
        <v>0</v>
      </c>
      <c r="FR144" s="50">
        <f>'2.2'!HP608</f>
        <v>0</v>
      </c>
      <c r="FS144" s="50">
        <f>'2.2'!HQ608</f>
        <v>0</v>
      </c>
      <c r="FT144" s="50">
        <f>'2.2'!HR608</f>
        <v>0</v>
      </c>
      <c r="FU144" s="50">
        <f>'2.2'!HS608</f>
        <v>0</v>
      </c>
      <c r="FV144" s="50">
        <f>'2.2'!HT608</f>
        <v>0</v>
      </c>
      <c r="FW144" s="50">
        <f>'2.2'!HU608</f>
        <v>0</v>
      </c>
      <c r="FX144" s="50">
        <f>'2.2'!HV608</f>
        <v>0</v>
      </c>
      <c r="FY144" s="50">
        <f>'2.2'!HW608</f>
        <v>0</v>
      </c>
      <c r="FZ144" s="50">
        <f>'2.2'!HX608</f>
        <v>0</v>
      </c>
      <c r="GA144" s="50">
        <f>'2.2'!HY608</f>
        <v>0</v>
      </c>
      <c r="GB144" s="50">
        <f>'2.2'!HZ608</f>
        <v>0</v>
      </c>
      <c r="GC144" s="50">
        <f>'2.2'!IA608</f>
        <v>0</v>
      </c>
      <c r="GD144" s="50">
        <f>'2.2'!IB608</f>
        <v>0</v>
      </c>
      <c r="GE144" s="50">
        <f>'2.2'!IC608</f>
        <v>0</v>
      </c>
      <c r="GF144" s="50">
        <f>'2.2'!ID608</f>
        <v>0</v>
      </c>
      <c r="GG144" s="50">
        <f>'2.2'!IE608</f>
        <v>0</v>
      </c>
      <c r="GH144" s="50">
        <f>'2.2'!IF608</f>
        <v>0</v>
      </c>
      <c r="GI144" s="50">
        <f>'2.2'!IG608</f>
        <v>0</v>
      </c>
      <c r="GJ144" s="50">
        <f>'2.2'!IH608</f>
        <v>0</v>
      </c>
      <c r="GK144" s="50">
        <f>'2.2'!II608</f>
        <v>0</v>
      </c>
      <c r="GL144" s="50">
        <f>'2.2'!IJ608</f>
        <v>0</v>
      </c>
      <c r="GM144" s="50">
        <f>'2.2'!IK608</f>
        <v>0</v>
      </c>
      <c r="GN144" s="50">
        <f>'2.2'!IL608</f>
        <v>0</v>
      </c>
      <c r="GO144" s="50">
        <f>'2.2'!IM608</f>
        <v>0</v>
      </c>
      <c r="GP144" s="50">
        <f>'2.2'!IN608</f>
        <v>0</v>
      </c>
      <c r="GQ144" s="50">
        <f>'2.2'!IO608</f>
        <v>0</v>
      </c>
      <c r="GR144" s="50">
        <f>'2.2'!IP608</f>
        <v>0</v>
      </c>
      <c r="GS144" s="50">
        <f>'2.2'!IQ608</f>
        <v>0</v>
      </c>
      <c r="GT144" s="50">
        <f>'2.2'!IR608</f>
        <v>0</v>
      </c>
      <c r="GU144" s="50">
        <f>'2.2'!IS608</f>
        <v>0</v>
      </c>
      <c r="GV144" s="50">
        <f>'2.2'!IT608</f>
        <v>0</v>
      </c>
    </row>
    <row r="145" spans="1:17" s="50" customFormat="1" collapsed="1">
      <c r="A145" s="910"/>
      <c r="B145" s="910"/>
      <c r="F145" s="103"/>
      <c r="M145" s="50">
        <f>Koptame!A105</f>
        <v>0</v>
      </c>
    </row>
    <row r="146" spans="1:17">
      <c r="A146" s="906" t="s">
        <v>7</v>
      </c>
      <c r="B146" s="906"/>
      <c r="C146" s="307"/>
      <c r="D146" s="307"/>
      <c r="E146" s="50"/>
      <c r="F146" s="103"/>
      <c r="G146" s="50"/>
      <c r="H146" s="50"/>
      <c r="I146" s="50"/>
      <c r="J146" s="50"/>
      <c r="K146" s="50"/>
      <c r="L146" s="50"/>
      <c r="M146" s="307"/>
      <c r="N146" s="81">
        <f>Koptame!B106</f>
        <v>0</v>
      </c>
      <c r="O146" s="81"/>
      <c r="P146" s="50"/>
      <c r="Q146" s="50"/>
    </row>
  </sheetData>
  <mergeCells count="25">
    <mergeCell ref="G10:L10"/>
    <mergeCell ref="M10:Q10"/>
    <mergeCell ref="A10:A11"/>
    <mergeCell ref="B10:B11"/>
    <mergeCell ref="C10:C11"/>
    <mergeCell ref="E10:E11"/>
    <mergeCell ref="F10:F11"/>
    <mergeCell ref="D10:D11"/>
    <mergeCell ref="A1:Q1"/>
    <mergeCell ref="A3:B3"/>
    <mergeCell ref="C3:Q3"/>
    <mergeCell ref="A4:B4"/>
    <mergeCell ref="C4:Q4"/>
    <mergeCell ref="A2:Q2"/>
    <mergeCell ref="A5:B5"/>
    <mergeCell ref="C5:Q5"/>
    <mergeCell ref="A6:B6"/>
    <mergeCell ref="C6:Q6"/>
    <mergeCell ref="A7:B7"/>
    <mergeCell ref="C7:Q7"/>
    <mergeCell ref="A145:B145"/>
    <mergeCell ref="A146:B146"/>
    <mergeCell ref="A142:L142"/>
    <mergeCell ref="A143:B143"/>
    <mergeCell ref="A144:Q144"/>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Q191"/>
  <sheetViews>
    <sheetView showZeros="0" zoomScale="75" zoomScaleNormal="75" zoomScaleSheetLayoutView="90" workbookViewId="0">
      <selection sqref="A1:P1"/>
    </sheetView>
  </sheetViews>
  <sheetFormatPr defaultColWidth="9.140625" defaultRowHeight="15"/>
  <cols>
    <col min="1" max="1" width="8.85546875" style="60" customWidth="1"/>
    <col min="2" max="2" width="11.7109375" style="60" customWidth="1"/>
    <col min="3" max="3" width="45.7109375" style="60" customWidth="1"/>
    <col min="4" max="4" width="8.7109375" style="60" customWidth="1"/>
    <col min="5" max="5" width="8.7109375" style="102" customWidth="1"/>
    <col min="6" max="8" width="8.7109375" style="60" customWidth="1"/>
    <col min="9" max="9" width="10.85546875" style="60" customWidth="1"/>
    <col min="10" max="10" width="8.7109375" style="60" customWidth="1"/>
    <col min="11" max="11" width="10.7109375" style="60" customWidth="1"/>
    <col min="12" max="16" width="12.7109375" style="60" customWidth="1"/>
    <col min="17" max="18" width="9.140625" style="60"/>
    <col min="19" max="19" width="9.140625" style="60" customWidth="1"/>
    <col min="20" max="16384" width="9.140625" style="60"/>
  </cols>
  <sheetData>
    <row r="1" spans="1:17" s="59" customFormat="1" ht="15.75">
      <c r="A1" s="875" t="s">
        <v>67</v>
      </c>
      <c r="B1" s="875"/>
      <c r="C1" s="875"/>
      <c r="D1" s="875"/>
      <c r="E1" s="875"/>
      <c r="F1" s="875"/>
      <c r="G1" s="875"/>
      <c r="H1" s="875"/>
      <c r="I1" s="875"/>
      <c r="J1" s="875"/>
      <c r="K1" s="875"/>
      <c r="L1" s="875"/>
      <c r="M1" s="875"/>
      <c r="N1" s="875"/>
      <c r="O1" s="875"/>
      <c r="P1" s="875"/>
    </row>
    <row r="2" spans="1:17" s="59" customFormat="1" ht="15.75">
      <c r="A2" s="899" t="s">
        <v>690</v>
      </c>
      <c r="B2" s="899"/>
      <c r="C2" s="899"/>
      <c r="D2" s="899"/>
      <c r="E2" s="899"/>
      <c r="F2" s="899"/>
      <c r="G2" s="899"/>
      <c r="H2" s="899"/>
      <c r="I2" s="899"/>
      <c r="J2" s="899"/>
      <c r="K2" s="899"/>
      <c r="L2" s="899"/>
      <c r="M2" s="899"/>
      <c r="N2" s="899"/>
      <c r="O2" s="899"/>
      <c r="P2" s="899"/>
    </row>
    <row r="3" spans="1:17" s="59" customFormat="1" ht="15.75">
      <c r="A3" s="876" t="s">
        <v>10</v>
      </c>
      <c r="B3" s="876"/>
      <c r="C3" s="859" t="s">
        <v>117</v>
      </c>
      <c r="D3" s="859"/>
      <c r="E3" s="859"/>
      <c r="F3" s="859"/>
      <c r="G3" s="859"/>
      <c r="H3" s="859"/>
      <c r="I3" s="859"/>
      <c r="J3" s="859"/>
      <c r="K3" s="859"/>
      <c r="L3" s="859"/>
      <c r="M3" s="859"/>
      <c r="N3" s="859"/>
      <c r="O3" s="859"/>
      <c r="P3" s="859"/>
    </row>
    <row r="4" spans="1:17" s="59" customFormat="1" ht="15.75">
      <c r="A4" s="876" t="s">
        <v>11</v>
      </c>
      <c r="B4" s="876"/>
      <c r="C4" s="859" t="s">
        <v>118</v>
      </c>
      <c r="D4" s="859"/>
      <c r="E4" s="859"/>
      <c r="F4" s="859"/>
      <c r="G4" s="859"/>
      <c r="H4" s="859"/>
      <c r="I4" s="859"/>
      <c r="J4" s="859"/>
      <c r="K4" s="859"/>
      <c r="L4" s="859"/>
      <c r="M4" s="859"/>
      <c r="N4" s="859"/>
      <c r="O4" s="859"/>
      <c r="P4" s="859"/>
    </row>
    <row r="5" spans="1:17" s="59" customFormat="1" ht="15.75">
      <c r="A5" s="876" t="s">
        <v>12</v>
      </c>
      <c r="B5" s="876"/>
      <c r="C5" s="859" t="s">
        <v>50</v>
      </c>
      <c r="D5" s="859"/>
      <c r="E5" s="859"/>
      <c r="F5" s="859"/>
      <c r="G5" s="859"/>
      <c r="H5" s="859"/>
      <c r="I5" s="859"/>
      <c r="J5" s="859"/>
      <c r="K5" s="859"/>
      <c r="L5" s="859"/>
      <c r="M5" s="859"/>
      <c r="N5" s="859"/>
      <c r="O5" s="859"/>
      <c r="P5" s="859"/>
    </row>
    <row r="6" spans="1:17" s="59" customFormat="1" ht="15.75">
      <c r="A6" s="876" t="s">
        <v>30</v>
      </c>
      <c r="B6" s="876"/>
      <c r="C6" s="874"/>
      <c r="D6" s="874"/>
      <c r="E6" s="874"/>
      <c r="F6" s="874"/>
      <c r="G6" s="874"/>
      <c r="H6" s="874"/>
      <c r="I6" s="874"/>
      <c r="J6" s="874"/>
      <c r="K6" s="874"/>
      <c r="L6" s="874"/>
      <c r="M6" s="874"/>
      <c r="N6" s="874"/>
      <c r="O6" s="874"/>
      <c r="P6" s="874"/>
    </row>
    <row r="7" spans="1:17" s="59" customFormat="1" ht="15.75">
      <c r="A7" s="876" t="s">
        <v>54</v>
      </c>
      <c r="B7" s="876"/>
      <c r="C7" s="873"/>
      <c r="D7" s="873"/>
      <c r="E7" s="873"/>
      <c r="F7" s="873"/>
      <c r="G7" s="873"/>
      <c r="H7" s="873"/>
      <c r="I7" s="873"/>
      <c r="J7" s="873"/>
      <c r="K7" s="873"/>
      <c r="L7" s="873"/>
      <c r="M7" s="873"/>
      <c r="N7" s="873"/>
      <c r="O7" s="873"/>
      <c r="P7" s="873"/>
    </row>
    <row r="8" spans="1:17" s="59" customFormat="1" ht="15.75">
      <c r="A8" s="73"/>
      <c r="B8" s="73"/>
      <c r="C8" s="73"/>
      <c r="D8" s="73"/>
      <c r="E8" s="104"/>
      <c r="F8" s="73"/>
      <c r="G8" s="73"/>
      <c r="H8" s="73"/>
      <c r="I8" s="73"/>
      <c r="J8" s="73"/>
      <c r="K8" s="73"/>
      <c r="L8" s="66"/>
      <c r="M8" s="66"/>
      <c r="N8" s="74"/>
      <c r="O8" s="63" t="s">
        <v>52</v>
      </c>
      <c r="P8" s="75" t="e">
        <f>#REF!</f>
        <v>#REF!</v>
      </c>
    </row>
    <row r="9" spans="1:17" ht="15.75">
      <c r="A9" s="65"/>
      <c r="B9" s="65"/>
      <c r="C9" s="66"/>
      <c r="D9" s="66"/>
      <c r="E9" s="110"/>
      <c r="F9" s="66"/>
      <c r="G9" s="66"/>
      <c r="H9" s="66"/>
      <c r="I9" s="66"/>
      <c r="J9" s="66"/>
      <c r="K9" s="66"/>
      <c r="L9" s="66"/>
      <c r="M9" s="66"/>
      <c r="N9" s="66"/>
      <c r="O9" s="66"/>
      <c r="P9" s="66"/>
    </row>
    <row r="10" spans="1:17" ht="14.25" customHeight="1">
      <c r="A10" s="925" t="s">
        <v>14</v>
      </c>
      <c r="B10" s="926" t="s">
        <v>21</v>
      </c>
      <c r="C10" s="930" t="s">
        <v>22</v>
      </c>
      <c r="D10" s="924" t="s">
        <v>23</v>
      </c>
      <c r="E10" s="929" t="s">
        <v>24</v>
      </c>
      <c r="F10" s="928" t="s">
        <v>25</v>
      </c>
      <c r="G10" s="928"/>
      <c r="H10" s="928"/>
      <c r="I10" s="928"/>
      <c r="J10" s="928"/>
      <c r="K10" s="928"/>
      <c r="L10" s="928" t="s">
        <v>26</v>
      </c>
      <c r="M10" s="928"/>
      <c r="N10" s="928"/>
      <c r="O10" s="928"/>
      <c r="P10" s="928"/>
    </row>
    <row r="11" spans="1:17" ht="73.5" customHeight="1">
      <c r="A11" s="925"/>
      <c r="B11" s="927"/>
      <c r="C11" s="930"/>
      <c r="D11" s="924"/>
      <c r="E11" s="929"/>
      <c r="F11" s="317" t="s">
        <v>27</v>
      </c>
      <c r="G11" s="317" t="s">
        <v>37</v>
      </c>
      <c r="H11" s="317" t="s">
        <v>38</v>
      </c>
      <c r="I11" s="317" t="s">
        <v>39</v>
      </c>
      <c r="J11" s="317" t="s">
        <v>40</v>
      </c>
      <c r="K11" s="317" t="s">
        <v>41</v>
      </c>
      <c r="L11" s="317" t="s">
        <v>18</v>
      </c>
      <c r="M11" s="317" t="s">
        <v>38</v>
      </c>
      <c r="N11" s="317" t="s">
        <v>39</v>
      </c>
      <c r="O11" s="317" t="s">
        <v>40</v>
      </c>
      <c r="P11" s="317" t="s">
        <v>42</v>
      </c>
    </row>
    <row r="12" spans="1:17">
      <c r="A12" s="275">
        <v>1</v>
      </c>
      <c r="B12" s="275">
        <v>2</v>
      </c>
      <c r="C12" s="275">
        <v>3</v>
      </c>
      <c r="D12" s="275">
        <v>4</v>
      </c>
      <c r="E12" s="650">
        <v>5</v>
      </c>
      <c r="F12" s="275">
        <v>6</v>
      </c>
      <c r="G12" s="275">
        <v>7</v>
      </c>
      <c r="H12" s="275">
        <v>8</v>
      </c>
      <c r="I12" s="275">
        <v>9</v>
      </c>
      <c r="J12" s="275">
        <v>10</v>
      </c>
      <c r="K12" s="275">
        <v>11</v>
      </c>
      <c r="L12" s="275">
        <v>12</v>
      </c>
      <c r="M12" s="275">
        <v>13</v>
      </c>
      <c r="N12" s="275">
        <v>14</v>
      </c>
      <c r="O12" s="275">
        <v>15</v>
      </c>
      <c r="P12" s="275">
        <v>16</v>
      </c>
    </row>
    <row r="13" spans="1:17" s="68" customFormat="1" ht="24">
      <c r="A13" s="623"/>
      <c r="B13" s="624"/>
      <c r="C13" s="623" t="s">
        <v>1302</v>
      </c>
      <c r="D13" s="624"/>
      <c r="E13" s="648"/>
      <c r="F13" s="624"/>
      <c r="G13" s="624"/>
      <c r="H13" s="624"/>
      <c r="I13" s="624"/>
      <c r="J13" s="625">
        <f>H13*0.05</f>
        <v>0</v>
      </c>
      <c r="K13" s="625">
        <f>ROUND(H13+I13+J13,2)</f>
        <v>0</v>
      </c>
      <c r="L13" s="626">
        <f>ROUND(F13*E13,1)</f>
        <v>0</v>
      </c>
      <c r="M13" s="627">
        <f>ROUND(H13*E13,2)</f>
        <v>0</v>
      </c>
      <c r="N13" s="627">
        <f>ROUND(I13*E13,2)</f>
        <v>0</v>
      </c>
      <c r="O13" s="627">
        <f>ROUND(J13*E13,2)</f>
        <v>0</v>
      </c>
      <c r="P13" s="625">
        <f>ROUND(M13+N13+O13,2)</f>
        <v>0</v>
      </c>
      <c r="Q13" s="178"/>
    </row>
    <row r="14" spans="1:17" s="68" customFormat="1">
      <c r="A14" s="387">
        <v>1</v>
      </c>
      <c r="B14" s="387" t="s">
        <v>149</v>
      </c>
      <c r="C14" s="551" t="s">
        <v>1303</v>
      </c>
      <c r="D14" s="552" t="s">
        <v>90</v>
      </c>
      <c r="E14" s="433">
        <v>1</v>
      </c>
      <c r="F14" s="628"/>
      <c r="G14" s="629"/>
      <c r="H14" s="628"/>
      <c r="I14" s="628"/>
      <c r="J14" s="628"/>
      <c r="K14" s="628"/>
      <c r="L14" s="629"/>
      <c r="M14" s="630"/>
      <c r="N14" s="630"/>
      <c r="O14" s="630"/>
      <c r="P14" s="628"/>
      <c r="Q14" s="178"/>
    </row>
    <row r="15" spans="1:17" s="68" customFormat="1" ht="24">
      <c r="A15" s="378">
        <f>A14+1</f>
        <v>2</v>
      </c>
      <c r="B15" s="378" t="s">
        <v>149</v>
      </c>
      <c r="C15" s="554" t="s">
        <v>1304</v>
      </c>
      <c r="D15" s="555" t="s">
        <v>90</v>
      </c>
      <c r="E15" s="379">
        <v>1</v>
      </c>
      <c r="F15" s="631"/>
      <c r="G15" s="632"/>
      <c r="H15" s="631"/>
      <c r="I15" s="631"/>
      <c r="J15" s="631"/>
      <c r="K15" s="631"/>
      <c r="L15" s="632"/>
      <c r="M15" s="633"/>
      <c r="N15" s="633"/>
      <c r="O15" s="633"/>
      <c r="P15" s="631"/>
      <c r="Q15" s="178"/>
    </row>
    <row r="16" spans="1:17" s="68" customFormat="1" ht="36">
      <c r="A16" s="378">
        <f t="shared" ref="A16:A29" si="0">A15+1</f>
        <v>3</v>
      </c>
      <c r="B16" s="378" t="s">
        <v>149</v>
      </c>
      <c r="C16" s="554" t="s">
        <v>1305</v>
      </c>
      <c r="D16" s="555" t="s">
        <v>90</v>
      </c>
      <c r="E16" s="379">
        <v>1</v>
      </c>
      <c r="F16" s="634"/>
      <c r="G16" s="632"/>
      <c r="H16" s="631"/>
      <c r="I16" s="424"/>
      <c r="J16" s="631"/>
      <c r="K16" s="631"/>
      <c r="L16" s="632"/>
      <c r="M16" s="633"/>
      <c r="N16" s="633"/>
      <c r="O16" s="633"/>
      <c r="P16" s="631"/>
      <c r="Q16" s="178"/>
    </row>
    <row r="17" spans="1:17" s="68" customFormat="1" ht="36">
      <c r="A17" s="378">
        <f t="shared" si="0"/>
        <v>4</v>
      </c>
      <c r="B17" s="378" t="s">
        <v>149</v>
      </c>
      <c r="C17" s="554" t="s">
        <v>1306</v>
      </c>
      <c r="D17" s="555" t="s">
        <v>90</v>
      </c>
      <c r="E17" s="379">
        <v>1</v>
      </c>
      <c r="F17" s="631"/>
      <c r="G17" s="632"/>
      <c r="H17" s="631"/>
      <c r="I17" s="424"/>
      <c r="J17" s="631"/>
      <c r="K17" s="631"/>
      <c r="L17" s="632"/>
      <c r="M17" s="633"/>
      <c r="N17" s="633"/>
      <c r="O17" s="633"/>
      <c r="P17" s="631"/>
      <c r="Q17" s="178"/>
    </row>
    <row r="18" spans="1:17" s="68" customFormat="1" ht="36">
      <c r="A18" s="378">
        <f t="shared" si="0"/>
        <v>5</v>
      </c>
      <c r="B18" s="378" t="s">
        <v>149</v>
      </c>
      <c r="C18" s="377" t="s">
        <v>1307</v>
      </c>
      <c r="D18" s="555" t="s">
        <v>90</v>
      </c>
      <c r="E18" s="379">
        <v>1</v>
      </c>
      <c r="F18" s="628"/>
      <c r="G18" s="632"/>
      <c r="H18" s="631"/>
      <c r="I18" s="631"/>
      <c r="J18" s="631"/>
      <c r="K18" s="631"/>
      <c r="L18" s="632"/>
      <c r="M18" s="633"/>
      <c r="N18" s="633"/>
      <c r="O18" s="633"/>
      <c r="P18" s="631"/>
      <c r="Q18" s="178"/>
    </row>
    <row r="19" spans="1:17" s="68" customFormat="1" ht="36">
      <c r="A19" s="378">
        <f t="shared" si="0"/>
        <v>6</v>
      </c>
      <c r="B19" s="378" t="s">
        <v>149</v>
      </c>
      <c r="C19" s="554" t="s">
        <v>1308</v>
      </c>
      <c r="D19" s="555" t="s">
        <v>90</v>
      </c>
      <c r="E19" s="379">
        <v>2</v>
      </c>
      <c r="F19" s="631"/>
      <c r="G19" s="632"/>
      <c r="H19" s="631"/>
      <c r="I19" s="424"/>
      <c r="J19" s="631"/>
      <c r="K19" s="631"/>
      <c r="L19" s="632"/>
      <c r="M19" s="633"/>
      <c r="N19" s="633"/>
      <c r="O19" s="633"/>
      <c r="P19" s="631"/>
      <c r="Q19" s="178"/>
    </row>
    <row r="20" spans="1:17" s="68" customFormat="1" ht="24">
      <c r="A20" s="378">
        <f t="shared" si="0"/>
        <v>7</v>
      </c>
      <c r="B20" s="378" t="s">
        <v>149</v>
      </c>
      <c r="C20" s="554" t="s">
        <v>1309</v>
      </c>
      <c r="D20" s="555" t="s">
        <v>100</v>
      </c>
      <c r="E20" s="354">
        <v>1</v>
      </c>
      <c r="F20" s="631"/>
      <c r="G20" s="632"/>
      <c r="H20" s="631"/>
      <c r="I20" s="631"/>
      <c r="J20" s="631"/>
      <c r="K20" s="631"/>
      <c r="L20" s="632"/>
      <c r="M20" s="633"/>
      <c r="N20" s="633"/>
      <c r="O20" s="633"/>
      <c r="P20" s="631"/>
      <c r="Q20" s="178"/>
    </row>
    <row r="21" spans="1:17" s="68" customFormat="1" ht="36">
      <c r="A21" s="378">
        <f t="shared" si="0"/>
        <v>8</v>
      </c>
      <c r="B21" s="378" t="s">
        <v>149</v>
      </c>
      <c r="C21" s="542" t="s">
        <v>1310</v>
      </c>
      <c r="D21" s="555" t="s">
        <v>100</v>
      </c>
      <c r="E21" s="379">
        <v>1</v>
      </c>
      <c r="F21" s="631"/>
      <c r="G21" s="632"/>
      <c r="H21" s="631"/>
      <c r="I21" s="424"/>
      <c r="J21" s="631"/>
      <c r="K21" s="631"/>
      <c r="L21" s="632"/>
      <c r="M21" s="633"/>
      <c r="N21" s="633"/>
      <c r="O21" s="633"/>
      <c r="P21" s="631"/>
      <c r="Q21" s="178"/>
    </row>
    <row r="22" spans="1:17" s="68" customFormat="1">
      <c r="A22" s="378">
        <f t="shared" si="0"/>
        <v>9</v>
      </c>
      <c r="B22" s="378" t="s">
        <v>149</v>
      </c>
      <c r="C22" s="554" t="s">
        <v>1311</v>
      </c>
      <c r="D22" s="555" t="s">
        <v>93</v>
      </c>
      <c r="E22" s="379">
        <v>1</v>
      </c>
      <c r="F22" s="631"/>
      <c r="G22" s="632"/>
      <c r="H22" s="631"/>
      <c r="I22" s="631"/>
      <c r="J22" s="631"/>
      <c r="K22" s="631"/>
      <c r="L22" s="632"/>
      <c r="M22" s="633"/>
      <c r="N22" s="633"/>
      <c r="O22" s="633"/>
      <c r="P22" s="631"/>
      <c r="Q22" s="178"/>
    </row>
    <row r="23" spans="1:17" s="68" customFormat="1">
      <c r="A23" s="378">
        <f t="shared" si="0"/>
        <v>10</v>
      </c>
      <c r="B23" s="378" t="s">
        <v>149</v>
      </c>
      <c r="C23" s="554" t="s">
        <v>1312</v>
      </c>
      <c r="D23" s="555" t="s">
        <v>93</v>
      </c>
      <c r="E23" s="379">
        <v>1</v>
      </c>
      <c r="F23" s="631"/>
      <c r="G23" s="632"/>
      <c r="H23" s="631"/>
      <c r="I23" s="631"/>
      <c r="J23" s="631"/>
      <c r="K23" s="631"/>
      <c r="L23" s="632"/>
      <c r="M23" s="633"/>
      <c r="N23" s="633"/>
      <c r="O23" s="633"/>
      <c r="P23" s="631"/>
      <c r="Q23" s="178"/>
    </row>
    <row r="24" spans="1:17" s="68" customFormat="1" ht="24">
      <c r="A24" s="378">
        <f t="shared" si="0"/>
        <v>11</v>
      </c>
      <c r="B24" s="378" t="s">
        <v>149</v>
      </c>
      <c r="C24" s="554" t="s">
        <v>1313</v>
      </c>
      <c r="D24" s="555" t="s">
        <v>93</v>
      </c>
      <c r="E24" s="379">
        <v>1</v>
      </c>
      <c r="F24" s="631"/>
      <c r="G24" s="632"/>
      <c r="H24" s="631"/>
      <c r="I24" s="631"/>
      <c r="J24" s="631"/>
      <c r="K24" s="631"/>
      <c r="L24" s="632"/>
      <c r="M24" s="633"/>
      <c r="N24" s="633"/>
      <c r="O24" s="633"/>
      <c r="P24" s="631"/>
      <c r="Q24" s="178"/>
    </row>
    <row r="25" spans="1:17" s="68" customFormat="1" ht="24">
      <c r="A25" s="378">
        <f t="shared" si="0"/>
        <v>12</v>
      </c>
      <c r="B25" s="378" t="s">
        <v>149</v>
      </c>
      <c r="C25" s="554" t="s">
        <v>1314</v>
      </c>
      <c r="D25" s="555" t="s">
        <v>93</v>
      </c>
      <c r="E25" s="379">
        <v>2</v>
      </c>
      <c r="F25" s="631"/>
      <c r="G25" s="632"/>
      <c r="H25" s="631"/>
      <c r="I25" s="631"/>
      <c r="J25" s="631"/>
      <c r="K25" s="631"/>
      <c r="L25" s="632"/>
      <c r="M25" s="633"/>
      <c r="N25" s="633"/>
      <c r="O25" s="633"/>
      <c r="P25" s="631"/>
      <c r="Q25" s="178"/>
    </row>
    <row r="26" spans="1:17" s="68" customFormat="1">
      <c r="A26" s="378">
        <f t="shared" si="0"/>
        <v>13</v>
      </c>
      <c r="B26" s="378" t="s">
        <v>149</v>
      </c>
      <c r="C26" s="554" t="s">
        <v>1315</v>
      </c>
      <c r="D26" s="555" t="s">
        <v>93</v>
      </c>
      <c r="E26" s="379">
        <v>1</v>
      </c>
      <c r="F26" s="631"/>
      <c r="G26" s="632"/>
      <c r="H26" s="631"/>
      <c r="I26" s="631"/>
      <c r="J26" s="631"/>
      <c r="K26" s="631"/>
      <c r="L26" s="632"/>
      <c r="M26" s="633"/>
      <c r="N26" s="633"/>
      <c r="O26" s="633"/>
      <c r="P26" s="631"/>
      <c r="Q26" s="178"/>
    </row>
    <row r="27" spans="1:17" s="68" customFormat="1">
      <c r="A27" s="378">
        <f t="shared" si="0"/>
        <v>14</v>
      </c>
      <c r="B27" s="378" t="s">
        <v>149</v>
      </c>
      <c r="C27" s="554" t="s">
        <v>1316</v>
      </c>
      <c r="D27" s="555" t="s">
        <v>93</v>
      </c>
      <c r="E27" s="379">
        <v>1</v>
      </c>
      <c r="F27" s="631"/>
      <c r="G27" s="632"/>
      <c r="H27" s="631"/>
      <c r="I27" s="631"/>
      <c r="J27" s="631"/>
      <c r="K27" s="631"/>
      <c r="L27" s="632"/>
      <c r="M27" s="633"/>
      <c r="N27" s="633"/>
      <c r="O27" s="633"/>
      <c r="P27" s="631"/>
      <c r="Q27" s="178"/>
    </row>
    <row r="28" spans="1:17" s="68" customFormat="1">
      <c r="A28" s="378">
        <f t="shared" si="0"/>
        <v>15</v>
      </c>
      <c r="B28" s="378" t="s">
        <v>149</v>
      </c>
      <c r="C28" s="561" t="s">
        <v>1317</v>
      </c>
      <c r="D28" s="434" t="s">
        <v>93</v>
      </c>
      <c r="E28" s="379">
        <v>4</v>
      </c>
      <c r="F28" s="631"/>
      <c r="G28" s="632"/>
      <c r="H28" s="631"/>
      <c r="I28" s="631"/>
      <c r="J28" s="631"/>
      <c r="K28" s="631"/>
      <c r="L28" s="632"/>
      <c r="M28" s="633"/>
      <c r="N28" s="633"/>
      <c r="O28" s="633"/>
      <c r="P28" s="631"/>
      <c r="Q28" s="178"/>
    </row>
    <row r="29" spans="1:17" s="68" customFormat="1">
      <c r="A29" s="378">
        <f t="shared" si="0"/>
        <v>16</v>
      </c>
      <c r="B29" s="378" t="s">
        <v>149</v>
      </c>
      <c r="C29" s="561" t="s">
        <v>1318</v>
      </c>
      <c r="D29" s="434" t="s">
        <v>93</v>
      </c>
      <c r="E29" s="379">
        <v>3</v>
      </c>
      <c r="F29" s="631"/>
      <c r="G29" s="632"/>
      <c r="H29" s="631"/>
      <c r="I29" s="631"/>
      <c r="J29" s="631"/>
      <c r="K29" s="631"/>
      <c r="L29" s="632"/>
      <c r="M29" s="633"/>
      <c r="N29" s="633"/>
      <c r="O29" s="633"/>
      <c r="P29" s="631"/>
      <c r="Q29" s="178"/>
    </row>
    <row r="30" spans="1:17" s="68" customFormat="1">
      <c r="A30" s="378">
        <f>A29+1</f>
        <v>17</v>
      </c>
      <c r="B30" s="378" t="s">
        <v>149</v>
      </c>
      <c r="C30" s="561" t="s">
        <v>1319</v>
      </c>
      <c r="D30" s="434" t="s">
        <v>93</v>
      </c>
      <c r="E30" s="379">
        <v>1</v>
      </c>
      <c r="F30" s="631"/>
      <c r="G30" s="632"/>
      <c r="H30" s="631"/>
      <c r="I30" s="631"/>
      <c r="J30" s="631"/>
      <c r="K30" s="631"/>
      <c r="L30" s="632"/>
      <c r="M30" s="633"/>
      <c r="N30" s="633"/>
      <c r="O30" s="633"/>
      <c r="P30" s="631"/>
      <c r="Q30" s="178"/>
    </row>
    <row r="31" spans="1:17" s="68" customFormat="1">
      <c r="A31" s="378">
        <f t="shared" ref="A31:A44" si="1">A30+1</f>
        <v>18</v>
      </c>
      <c r="B31" s="378" t="s">
        <v>149</v>
      </c>
      <c r="C31" s="561" t="s">
        <v>1320</v>
      </c>
      <c r="D31" s="434" t="s">
        <v>93</v>
      </c>
      <c r="E31" s="379">
        <v>5</v>
      </c>
      <c r="F31" s="631"/>
      <c r="G31" s="632"/>
      <c r="H31" s="631"/>
      <c r="I31" s="631"/>
      <c r="J31" s="631"/>
      <c r="K31" s="631"/>
      <c r="L31" s="632"/>
      <c r="M31" s="633"/>
      <c r="N31" s="633"/>
      <c r="O31" s="633"/>
      <c r="P31" s="631"/>
      <c r="Q31" s="178"/>
    </row>
    <row r="32" spans="1:17" s="68" customFormat="1">
      <c r="A32" s="378">
        <f t="shared" si="1"/>
        <v>19</v>
      </c>
      <c r="B32" s="378" t="s">
        <v>149</v>
      </c>
      <c r="C32" s="561" t="s">
        <v>1321</v>
      </c>
      <c r="D32" s="434" t="s">
        <v>93</v>
      </c>
      <c r="E32" s="379">
        <v>1</v>
      </c>
      <c r="F32" s="631"/>
      <c r="G32" s="632"/>
      <c r="H32" s="631"/>
      <c r="I32" s="631"/>
      <c r="J32" s="631"/>
      <c r="K32" s="631"/>
      <c r="L32" s="632"/>
      <c r="M32" s="633"/>
      <c r="N32" s="633"/>
      <c r="O32" s="633"/>
      <c r="P32" s="631"/>
      <c r="Q32" s="178"/>
    </row>
    <row r="33" spans="1:17" s="68" customFormat="1">
      <c r="A33" s="378">
        <f t="shared" si="1"/>
        <v>20</v>
      </c>
      <c r="B33" s="378" t="s">
        <v>149</v>
      </c>
      <c r="C33" s="554" t="s">
        <v>1322</v>
      </c>
      <c r="D33" s="434" t="s">
        <v>93</v>
      </c>
      <c r="E33" s="379">
        <v>6</v>
      </c>
      <c r="F33" s="631"/>
      <c r="G33" s="632"/>
      <c r="H33" s="631"/>
      <c r="I33" s="631"/>
      <c r="J33" s="631"/>
      <c r="K33" s="631"/>
      <c r="L33" s="632"/>
      <c r="M33" s="633"/>
      <c r="N33" s="633"/>
      <c r="O33" s="633"/>
      <c r="P33" s="631"/>
      <c r="Q33" s="178"/>
    </row>
    <row r="34" spans="1:17" s="68" customFormat="1">
      <c r="A34" s="378">
        <f t="shared" si="1"/>
        <v>21</v>
      </c>
      <c r="B34" s="378" t="s">
        <v>149</v>
      </c>
      <c r="C34" s="554" t="s">
        <v>1323</v>
      </c>
      <c r="D34" s="434" t="s">
        <v>93</v>
      </c>
      <c r="E34" s="379">
        <v>2</v>
      </c>
      <c r="F34" s="631"/>
      <c r="G34" s="632"/>
      <c r="H34" s="631"/>
      <c r="I34" s="631"/>
      <c r="J34" s="631"/>
      <c r="K34" s="631"/>
      <c r="L34" s="632"/>
      <c r="M34" s="633"/>
      <c r="N34" s="633"/>
      <c r="O34" s="633"/>
      <c r="P34" s="631"/>
      <c r="Q34" s="178"/>
    </row>
    <row r="35" spans="1:17" s="68" customFormat="1">
      <c r="A35" s="378">
        <f t="shared" si="1"/>
        <v>22</v>
      </c>
      <c r="B35" s="378" t="s">
        <v>149</v>
      </c>
      <c r="C35" s="554" t="s">
        <v>1784</v>
      </c>
      <c r="D35" s="434" t="s">
        <v>93</v>
      </c>
      <c r="E35" s="379">
        <v>6</v>
      </c>
      <c r="F35" s="631"/>
      <c r="G35" s="632"/>
      <c r="H35" s="631"/>
      <c r="I35" s="631"/>
      <c r="J35" s="631"/>
      <c r="K35" s="631"/>
      <c r="L35" s="632"/>
      <c r="M35" s="633"/>
      <c r="N35" s="633"/>
      <c r="O35" s="633"/>
      <c r="P35" s="631"/>
      <c r="Q35" s="178"/>
    </row>
    <row r="36" spans="1:17" s="68" customFormat="1">
      <c r="A36" s="378">
        <f t="shared" si="1"/>
        <v>23</v>
      </c>
      <c r="B36" s="378" t="s">
        <v>149</v>
      </c>
      <c r="C36" s="561" t="s">
        <v>1324</v>
      </c>
      <c r="D36" s="635" t="s">
        <v>93</v>
      </c>
      <c r="E36" s="582">
        <v>4</v>
      </c>
      <c r="F36" s="631"/>
      <c r="G36" s="632"/>
      <c r="H36" s="631"/>
      <c r="I36" s="631"/>
      <c r="J36" s="631"/>
      <c r="K36" s="631"/>
      <c r="L36" s="632"/>
      <c r="M36" s="633"/>
      <c r="N36" s="633"/>
      <c r="O36" s="633"/>
      <c r="P36" s="631"/>
      <c r="Q36" s="178"/>
    </row>
    <row r="37" spans="1:17" s="68" customFormat="1">
      <c r="A37" s="378">
        <f t="shared" si="1"/>
        <v>24</v>
      </c>
      <c r="B37" s="378" t="s">
        <v>149</v>
      </c>
      <c r="C37" s="561" t="s">
        <v>1325</v>
      </c>
      <c r="D37" s="635" t="s">
        <v>90</v>
      </c>
      <c r="E37" s="582">
        <v>2</v>
      </c>
      <c r="F37" s="631"/>
      <c r="G37" s="632"/>
      <c r="H37" s="631"/>
      <c r="I37" s="631"/>
      <c r="J37" s="631"/>
      <c r="K37" s="631"/>
      <c r="L37" s="632"/>
      <c r="M37" s="633"/>
      <c r="N37" s="633"/>
      <c r="O37" s="633"/>
      <c r="P37" s="631"/>
      <c r="Q37" s="178"/>
    </row>
    <row r="38" spans="1:17" s="68" customFormat="1">
      <c r="A38" s="378">
        <f t="shared" si="1"/>
        <v>25</v>
      </c>
      <c r="B38" s="378" t="s">
        <v>149</v>
      </c>
      <c r="C38" s="636" t="s">
        <v>1326</v>
      </c>
      <c r="D38" s="555" t="s">
        <v>77</v>
      </c>
      <c r="E38" s="354">
        <v>5</v>
      </c>
      <c r="F38" s="631"/>
      <c r="G38" s="632"/>
      <c r="H38" s="631"/>
      <c r="I38" s="631"/>
      <c r="J38" s="631"/>
      <c r="K38" s="631"/>
      <c r="L38" s="632"/>
      <c r="M38" s="633"/>
      <c r="N38" s="633"/>
      <c r="O38" s="633"/>
      <c r="P38" s="631"/>
      <c r="Q38" s="178"/>
    </row>
    <row r="39" spans="1:17" s="68" customFormat="1">
      <c r="A39" s="378">
        <f t="shared" si="1"/>
        <v>26</v>
      </c>
      <c r="B39" s="378" t="s">
        <v>149</v>
      </c>
      <c r="C39" s="636" t="s">
        <v>1327</v>
      </c>
      <c r="D39" s="378" t="s">
        <v>77</v>
      </c>
      <c r="E39" s="354">
        <v>30</v>
      </c>
      <c r="F39" s="631"/>
      <c r="G39" s="632"/>
      <c r="H39" s="631"/>
      <c r="I39" s="631"/>
      <c r="J39" s="631"/>
      <c r="K39" s="631"/>
      <c r="L39" s="632"/>
      <c r="M39" s="633"/>
      <c r="N39" s="633"/>
      <c r="O39" s="633"/>
      <c r="P39" s="631"/>
      <c r="Q39" s="178"/>
    </row>
    <row r="40" spans="1:17" s="68" customFormat="1">
      <c r="A40" s="378">
        <f t="shared" si="1"/>
        <v>27</v>
      </c>
      <c r="B40" s="378" t="s">
        <v>149</v>
      </c>
      <c r="C40" s="636" t="s">
        <v>1328</v>
      </c>
      <c r="D40" s="378" t="s">
        <v>77</v>
      </c>
      <c r="E40" s="354">
        <v>80</v>
      </c>
      <c r="F40" s="631"/>
      <c r="G40" s="632"/>
      <c r="H40" s="631"/>
      <c r="I40" s="631"/>
      <c r="J40" s="631"/>
      <c r="K40" s="631"/>
      <c r="L40" s="632"/>
      <c r="M40" s="633"/>
      <c r="N40" s="633"/>
      <c r="O40" s="633"/>
      <c r="P40" s="631"/>
      <c r="Q40" s="178"/>
    </row>
    <row r="41" spans="1:17" s="68" customFormat="1">
      <c r="A41" s="378">
        <f t="shared" si="1"/>
        <v>28</v>
      </c>
      <c r="B41" s="378" t="s">
        <v>149</v>
      </c>
      <c r="C41" s="636" t="s">
        <v>1329</v>
      </c>
      <c r="D41" s="555" t="s">
        <v>77</v>
      </c>
      <c r="E41" s="354">
        <v>5</v>
      </c>
      <c r="F41" s="631"/>
      <c r="G41" s="632"/>
      <c r="H41" s="631"/>
      <c r="I41" s="631"/>
      <c r="J41" s="631"/>
      <c r="K41" s="631"/>
      <c r="L41" s="632"/>
      <c r="M41" s="633"/>
      <c r="N41" s="633"/>
      <c r="O41" s="633"/>
      <c r="P41" s="631"/>
      <c r="Q41" s="178"/>
    </row>
    <row r="42" spans="1:17" s="68" customFormat="1">
      <c r="A42" s="378">
        <f t="shared" si="1"/>
        <v>29</v>
      </c>
      <c r="B42" s="378" t="s">
        <v>149</v>
      </c>
      <c r="C42" s="636" t="s">
        <v>1330</v>
      </c>
      <c r="D42" s="378" t="s">
        <v>77</v>
      </c>
      <c r="E42" s="354">
        <v>5</v>
      </c>
      <c r="F42" s="631"/>
      <c r="G42" s="632"/>
      <c r="H42" s="631"/>
      <c r="I42" s="631"/>
      <c r="J42" s="631"/>
      <c r="K42" s="631"/>
      <c r="L42" s="632"/>
      <c r="M42" s="633"/>
      <c r="N42" s="633"/>
      <c r="O42" s="633"/>
      <c r="P42" s="631"/>
      <c r="Q42" s="178"/>
    </row>
    <row r="43" spans="1:17" s="68" customFormat="1">
      <c r="A43" s="378">
        <f t="shared" si="1"/>
        <v>30</v>
      </c>
      <c r="B43" s="378" t="s">
        <v>149</v>
      </c>
      <c r="C43" s="561" t="s">
        <v>1331</v>
      </c>
      <c r="D43" s="378" t="s">
        <v>1781</v>
      </c>
      <c r="E43" s="354">
        <v>5</v>
      </c>
      <c r="F43" s="631"/>
      <c r="G43" s="632"/>
      <c r="H43" s="631"/>
      <c r="I43" s="631"/>
      <c r="J43" s="631"/>
      <c r="K43" s="631"/>
      <c r="L43" s="632"/>
      <c r="M43" s="633"/>
      <c r="N43" s="633"/>
      <c r="O43" s="633"/>
      <c r="P43" s="631"/>
      <c r="Q43" s="178"/>
    </row>
    <row r="44" spans="1:17" s="68" customFormat="1">
      <c r="A44" s="378">
        <f t="shared" si="1"/>
        <v>31</v>
      </c>
      <c r="B44" s="378" t="s">
        <v>149</v>
      </c>
      <c r="C44" s="561" t="s">
        <v>1332</v>
      </c>
      <c r="D44" s="378" t="s">
        <v>77</v>
      </c>
      <c r="E44" s="354">
        <v>10</v>
      </c>
      <c r="F44" s="631"/>
      <c r="G44" s="632"/>
      <c r="H44" s="631"/>
      <c r="I44" s="631"/>
      <c r="J44" s="631"/>
      <c r="K44" s="631"/>
      <c r="L44" s="632"/>
      <c r="M44" s="633"/>
      <c r="N44" s="633"/>
      <c r="O44" s="633"/>
      <c r="P44" s="631"/>
      <c r="Q44" s="178"/>
    </row>
    <row r="45" spans="1:17" s="68" customFormat="1">
      <c r="A45" s="378">
        <f>A44+1</f>
        <v>32</v>
      </c>
      <c r="B45" s="378" t="s">
        <v>149</v>
      </c>
      <c r="C45" s="561" t="s">
        <v>1333</v>
      </c>
      <c r="D45" s="378" t="s">
        <v>77</v>
      </c>
      <c r="E45" s="354">
        <v>30</v>
      </c>
      <c r="F45" s="631"/>
      <c r="G45" s="632"/>
      <c r="H45" s="631"/>
      <c r="I45" s="631"/>
      <c r="J45" s="631"/>
      <c r="K45" s="631"/>
      <c r="L45" s="632"/>
      <c r="M45" s="633"/>
      <c r="N45" s="633"/>
      <c r="O45" s="633"/>
      <c r="P45" s="631"/>
      <c r="Q45" s="178"/>
    </row>
    <row r="46" spans="1:17" s="68" customFormat="1">
      <c r="A46" s="378">
        <f t="shared" ref="A46:A60" si="2">A45+1</f>
        <v>33</v>
      </c>
      <c r="B46" s="378" t="s">
        <v>149</v>
      </c>
      <c r="C46" s="561" t="s">
        <v>1334</v>
      </c>
      <c r="D46" s="378" t="s">
        <v>77</v>
      </c>
      <c r="E46" s="354">
        <v>80</v>
      </c>
      <c r="F46" s="631"/>
      <c r="G46" s="632"/>
      <c r="H46" s="631"/>
      <c r="I46" s="631"/>
      <c r="J46" s="631"/>
      <c r="K46" s="631"/>
      <c r="L46" s="632"/>
      <c r="M46" s="633"/>
      <c r="N46" s="633"/>
      <c r="O46" s="633"/>
      <c r="P46" s="631"/>
      <c r="Q46" s="178"/>
    </row>
    <row r="47" spans="1:17" s="68" customFormat="1">
      <c r="A47" s="378">
        <f t="shared" si="2"/>
        <v>34</v>
      </c>
      <c r="B47" s="378" t="s">
        <v>149</v>
      </c>
      <c r="C47" s="561" t="s">
        <v>1335</v>
      </c>
      <c r="D47" s="378" t="s">
        <v>77</v>
      </c>
      <c r="E47" s="354">
        <v>5</v>
      </c>
      <c r="F47" s="631"/>
      <c r="G47" s="632"/>
      <c r="H47" s="631"/>
      <c r="I47" s="631"/>
      <c r="J47" s="631"/>
      <c r="K47" s="631"/>
      <c r="L47" s="632"/>
      <c r="M47" s="633"/>
      <c r="N47" s="633"/>
      <c r="O47" s="633"/>
      <c r="P47" s="631"/>
      <c r="Q47" s="178"/>
    </row>
    <row r="48" spans="1:17" s="68" customFormat="1">
      <c r="A48" s="378">
        <f t="shared" si="2"/>
        <v>35</v>
      </c>
      <c r="B48" s="378" t="s">
        <v>149</v>
      </c>
      <c r="C48" s="542" t="s">
        <v>88</v>
      </c>
      <c r="D48" s="566" t="s">
        <v>100</v>
      </c>
      <c r="E48" s="582">
        <v>1</v>
      </c>
      <c r="F48" s="631"/>
      <c r="G48" s="632"/>
      <c r="H48" s="631"/>
      <c r="I48" s="631"/>
      <c r="J48" s="631"/>
      <c r="K48" s="631"/>
      <c r="L48" s="632"/>
      <c r="M48" s="633"/>
      <c r="N48" s="633"/>
      <c r="O48" s="633"/>
      <c r="P48" s="631"/>
      <c r="Q48" s="178"/>
    </row>
    <row r="49" spans="1:17" s="68" customFormat="1">
      <c r="A49" s="378">
        <f t="shared" si="2"/>
        <v>36</v>
      </c>
      <c r="B49" s="378" t="s">
        <v>149</v>
      </c>
      <c r="C49" s="377" t="s">
        <v>1336</v>
      </c>
      <c r="D49" s="566" t="s">
        <v>100</v>
      </c>
      <c r="E49" s="582">
        <v>1</v>
      </c>
      <c r="F49" s="631"/>
      <c r="G49" s="632"/>
      <c r="H49" s="631"/>
      <c r="I49" s="631"/>
      <c r="J49" s="631"/>
      <c r="K49" s="631"/>
      <c r="L49" s="632"/>
      <c r="M49" s="633"/>
      <c r="N49" s="633"/>
      <c r="O49" s="633"/>
      <c r="P49" s="631"/>
      <c r="Q49" s="178"/>
    </row>
    <row r="50" spans="1:17" s="68" customFormat="1">
      <c r="A50" s="378">
        <f t="shared" si="2"/>
        <v>37</v>
      </c>
      <c r="B50" s="378" t="s">
        <v>149</v>
      </c>
      <c r="C50" s="377" t="s">
        <v>981</v>
      </c>
      <c r="D50" s="566" t="s">
        <v>100</v>
      </c>
      <c r="E50" s="582">
        <v>1</v>
      </c>
      <c r="F50" s="631"/>
      <c r="G50" s="632"/>
      <c r="H50" s="631"/>
      <c r="I50" s="631"/>
      <c r="J50" s="631"/>
      <c r="K50" s="631"/>
      <c r="L50" s="632"/>
      <c r="M50" s="633"/>
      <c r="N50" s="633"/>
      <c r="O50" s="633"/>
      <c r="P50" s="631"/>
      <c r="Q50" s="178"/>
    </row>
    <row r="51" spans="1:17" s="68" customFormat="1" ht="24.75">
      <c r="A51" s="382">
        <f t="shared" si="2"/>
        <v>38</v>
      </c>
      <c r="B51" s="382" t="s">
        <v>149</v>
      </c>
      <c r="C51" s="637" t="s">
        <v>1337</v>
      </c>
      <c r="D51" s="578" t="s">
        <v>100</v>
      </c>
      <c r="E51" s="441">
        <v>1</v>
      </c>
      <c r="F51" s="578"/>
      <c r="G51" s="634"/>
      <c r="H51" s="638"/>
      <c r="I51" s="634"/>
      <c r="J51" s="425"/>
      <c r="K51" s="634"/>
      <c r="L51" s="638"/>
      <c r="M51" s="639"/>
      <c r="N51" s="639"/>
      <c r="O51" s="639"/>
      <c r="P51" s="634"/>
      <c r="Q51" s="178"/>
    </row>
    <row r="52" spans="1:17" s="68" customFormat="1" ht="24">
      <c r="A52" s="623"/>
      <c r="B52" s="624"/>
      <c r="C52" s="623" t="s">
        <v>1338</v>
      </c>
      <c r="D52" s="624"/>
      <c r="E52" s="648"/>
      <c r="F52" s="624"/>
      <c r="G52" s="624"/>
      <c r="H52" s="624"/>
      <c r="I52" s="624"/>
      <c r="J52" s="624"/>
      <c r="K52" s="625"/>
      <c r="L52" s="626"/>
      <c r="M52" s="627"/>
      <c r="N52" s="627"/>
      <c r="O52" s="627"/>
      <c r="P52" s="625"/>
      <c r="Q52" s="178"/>
    </row>
    <row r="53" spans="1:17" s="68" customFormat="1">
      <c r="A53" s="387">
        <f>A51+1</f>
        <v>39</v>
      </c>
      <c r="B53" s="387" t="s">
        <v>149</v>
      </c>
      <c r="C53" s="551" t="s">
        <v>1303</v>
      </c>
      <c r="D53" s="552" t="s">
        <v>90</v>
      </c>
      <c r="E53" s="433">
        <v>1</v>
      </c>
      <c r="F53" s="628"/>
      <c r="G53" s="629"/>
      <c r="H53" s="628"/>
      <c r="I53" s="628"/>
      <c r="J53" s="628"/>
      <c r="K53" s="628"/>
      <c r="L53" s="629"/>
      <c r="M53" s="630"/>
      <c r="N53" s="630"/>
      <c r="O53" s="630"/>
      <c r="P53" s="628"/>
      <c r="Q53" s="178"/>
    </row>
    <row r="54" spans="1:17" s="68" customFormat="1" ht="24">
      <c r="A54" s="378">
        <f t="shared" si="2"/>
        <v>40</v>
      </c>
      <c r="B54" s="378" t="s">
        <v>149</v>
      </c>
      <c r="C54" s="554" t="s">
        <v>1339</v>
      </c>
      <c r="D54" s="555" t="s">
        <v>90</v>
      </c>
      <c r="E54" s="379">
        <v>1</v>
      </c>
      <c r="F54" s="631"/>
      <c r="G54" s="632"/>
      <c r="H54" s="631"/>
      <c r="I54" s="631"/>
      <c r="J54" s="631"/>
      <c r="K54" s="631"/>
      <c r="L54" s="632"/>
      <c r="M54" s="633"/>
      <c r="N54" s="633"/>
      <c r="O54" s="633"/>
      <c r="P54" s="631"/>
      <c r="Q54" s="178"/>
    </row>
    <row r="55" spans="1:17" s="68" customFormat="1" ht="36">
      <c r="A55" s="378">
        <f t="shared" si="2"/>
        <v>41</v>
      </c>
      <c r="B55" s="378" t="s">
        <v>149</v>
      </c>
      <c r="C55" s="554" t="s">
        <v>1340</v>
      </c>
      <c r="D55" s="555" t="s">
        <v>90</v>
      </c>
      <c r="E55" s="379">
        <v>1</v>
      </c>
      <c r="F55" s="631"/>
      <c r="G55" s="632"/>
      <c r="H55" s="631"/>
      <c r="I55" s="424"/>
      <c r="J55" s="631"/>
      <c r="K55" s="631"/>
      <c r="L55" s="632"/>
      <c r="M55" s="633"/>
      <c r="N55" s="633"/>
      <c r="O55" s="633"/>
      <c r="P55" s="631"/>
      <c r="Q55" s="178"/>
    </row>
    <row r="56" spans="1:17" s="68" customFormat="1" ht="36">
      <c r="A56" s="378">
        <f t="shared" si="2"/>
        <v>42</v>
      </c>
      <c r="B56" s="378" t="s">
        <v>149</v>
      </c>
      <c r="C56" s="542" t="s">
        <v>1341</v>
      </c>
      <c r="D56" s="555" t="s">
        <v>90</v>
      </c>
      <c r="E56" s="379">
        <v>1</v>
      </c>
      <c r="F56" s="631"/>
      <c r="G56" s="632"/>
      <c r="H56" s="631"/>
      <c r="I56" s="424"/>
      <c r="J56" s="631"/>
      <c r="K56" s="631"/>
      <c r="L56" s="632"/>
      <c r="M56" s="633"/>
      <c r="N56" s="633"/>
      <c r="O56" s="633"/>
      <c r="P56" s="631"/>
      <c r="Q56" s="178"/>
    </row>
    <row r="57" spans="1:17" s="68" customFormat="1" ht="24">
      <c r="A57" s="378">
        <f t="shared" si="2"/>
        <v>43</v>
      </c>
      <c r="B57" s="378" t="s">
        <v>149</v>
      </c>
      <c r="C57" s="554" t="s">
        <v>1342</v>
      </c>
      <c r="D57" s="555" t="s">
        <v>90</v>
      </c>
      <c r="E57" s="379">
        <v>1</v>
      </c>
      <c r="F57" s="631"/>
      <c r="G57" s="632"/>
      <c r="H57" s="631"/>
      <c r="I57" s="631"/>
      <c r="J57" s="631"/>
      <c r="K57" s="631"/>
      <c r="L57" s="632"/>
      <c r="M57" s="633"/>
      <c r="N57" s="633"/>
      <c r="O57" s="633"/>
      <c r="P57" s="631"/>
      <c r="Q57" s="178"/>
    </row>
    <row r="58" spans="1:17" s="68" customFormat="1" ht="24">
      <c r="A58" s="378">
        <f t="shared" si="2"/>
        <v>44</v>
      </c>
      <c r="B58" s="378" t="s">
        <v>149</v>
      </c>
      <c r="C58" s="554" t="s">
        <v>1343</v>
      </c>
      <c r="D58" s="555" t="s">
        <v>100</v>
      </c>
      <c r="E58" s="354">
        <v>1</v>
      </c>
      <c r="F58" s="631"/>
      <c r="G58" s="632"/>
      <c r="H58" s="631"/>
      <c r="I58" s="631"/>
      <c r="J58" s="631"/>
      <c r="K58" s="631"/>
      <c r="L58" s="632"/>
      <c r="M58" s="633"/>
      <c r="N58" s="633"/>
      <c r="O58" s="633"/>
      <c r="P58" s="631"/>
      <c r="Q58" s="178"/>
    </row>
    <row r="59" spans="1:17" s="68" customFormat="1">
      <c r="A59" s="378">
        <f t="shared" si="2"/>
        <v>45</v>
      </c>
      <c r="B59" s="378" t="s">
        <v>149</v>
      </c>
      <c r="C59" s="554" t="s">
        <v>1344</v>
      </c>
      <c r="D59" s="555" t="s">
        <v>93</v>
      </c>
      <c r="E59" s="379">
        <v>1</v>
      </c>
      <c r="F59" s="631"/>
      <c r="G59" s="632"/>
      <c r="H59" s="631"/>
      <c r="I59" s="631"/>
      <c r="J59" s="631"/>
      <c r="K59" s="631"/>
      <c r="L59" s="632"/>
      <c r="M59" s="633"/>
      <c r="N59" s="633"/>
      <c r="O59" s="633"/>
      <c r="P59" s="631"/>
      <c r="Q59" s="178"/>
    </row>
    <row r="60" spans="1:17" s="68" customFormat="1" ht="24">
      <c r="A60" s="378">
        <f t="shared" si="2"/>
        <v>46</v>
      </c>
      <c r="B60" s="378" t="s">
        <v>149</v>
      </c>
      <c r="C60" s="554" t="s">
        <v>1345</v>
      </c>
      <c r="D60" s="555" t="s">
        <v>93</v>
      </c>
      <c r="E60" s="379">
        <v>1</v>
      </c>
      <c r="F60" s="631"/>
      <c r="G60" s="632"/>
      <c r="H60" s="631"/>
      <c r="I60" s="631"/>
      <c r="J60" s="631"/>
      <c r="K60" s="631"/>
      <c r="L60" s="632"/>
      <c r="M60" s="633"/>
      <c r="N60" s="633"/>
      <c r="O60" s="633"/>
      <c r="P60" s="631"/>
      <c r="Q60" s="178"/>
    </row>
    <row r="61" spans="1:17" s="68" customFormat="1">
      <c r="A61" s="378">
        <f>A60+1</f>
        <v>47</v>
      </c>
      <c r="B61" s="378" t="s">
        <v>149</v>
      </c>
      <c r="C61" s="554" t="s">
        <v>1346</v>
      </c>
      <c r="D61" s="555" t="s">
        <v>93</v>
      </c>
      <c r="E61" s="379">
        <v>1</v>
      </c>
      <c r="F61" s="631"/>
      <c r="G61" s="632"/>
      <c r="H61" s="631"/>
      <c r="I61" s="631"/>
      <c r="J61" s="631"/>
      <c r="K61" s="631"/>
      <c r="L61" s="632"/>
      <c r="M61" s="633"/>
      <c r="N61" s="633"/>
      <c r="O61" s="633"/>
      <c r="P61" s="631"/>
      <c r="Q61" s="178"/>
    </row>
    <row r="62" spans="1:17" s="68" customFormat="1">
      <c r="A62" s="378">
        <f t="shared" ref="A62:A75" si="3">A61+1</f>
        <v>48</v>
      </c>
      <c r="B62" s="378" t="s">
        <v>149</v>
      </c>
      <c r="C62" s="561" t="s">
        <v>1317</v>
      </c>
      <c r="D62" s="434" t="s">
        <v>93</v>
      </c>
      <c r="E62" s="379">
        <v>4</v>
      </c>
      <c r="F62" s="631"/>
      <c r="G62" s="632"/>
      <c r="H62" s="631"/>
      <c r="I62" s="631"/>
      <c r="J62" s="631"/>
      <c r="K62" s="631"/>
      <c r="L62" s="632"/>
      <c r="M62" s="633"/>
      <c r="N62" s="633"/>
      <c r="O62" s="633"/>
      <c r="P62" s="631"/>
      <c r="Q62" s="178"/>
    </row>
    <row r="63" spans="1:17" s="68" customFormat="1">
      <c r="A63" s="378">
        <f t="shared" si="3"/>
        <v>49</v>
      </c>
      <c r="B63" s="378" t="s">
        <v>149</v>
      </c>
      <c r="C63" s="561" t="s">
        <v>1347</v>
      </c>
      <c r="D63" s="434" t="s">
        <v>93</v>
      </c>
      <c r="E63" s="379">
        <v>3</v>
      </c>
      <c r="F63" s="631"/>
      <c r="G63" s="632"/>
      <c r="H63" s="631"/>
      <c r="I63" s="631"/>
      <c r="J63" s="631"/>
      <c r="K63" s="631"/>
      <c r="L63" s="632"/>
      <c r="M63" s="633"/>
      <c r="N63" s="633"/>
      <c r="O63" s="633"/>
      <c r="P63" s="631"/>
      <c r="Q63" s="178"/>
    </row>
    <row r="64" spans="1:17" s="68" customFormat="1">
      <c r="A64" s="378">
        <f t="shared" si="3"/>
        <v>50</v>
      </c>
      <c r="B64" s="378" t="s">
        <v>149</v>
      </c>
      <c r="C64" s="554" t="s">
        <v>1322</v>
      </c>
      <c r="D64" s="434" t="s">
        <v>93</v>
      </c>
      <c r="E64" s="379">
        <v>4</v>
      </c>
      <c r="F64" s="631"/>
      <c r="G64" s="632"/>
      <c r="H64" s="631"/>
      <c r="I64" s="631"/>
      <c r="J64" s="631"/>
      <c r="K64" s="631"/>
      <c r="L64" s="632"/>
      <c r="M64" s="633"/>
      <c r="N64" s="633"/>
      <c r="O64" s="633"/>
      <c r="P64" s="631"/>
      <c r="Q64" s="178"/>
    </row>
    <row r="65" spans="1:17" s="68" customFormat="1">
      <c r="A65" s="378">
        <f t="shared" si="3"/>
        <v>51</v>
      </c>
      <c r="B65" s="378" t="s">
        <v>149</v>
      </c>
      <c r="C65" s="554" t="s">
        <v>1323</v>
      </c>
      <c r="D65" s="434" t="s">
        <v>93</v>
      </c>
      <c r="E65" s="379">
        <v>3</v>
      </c>
      <c r="F65" s="631"/>
      <c r="G65" s="632"/>
      <c r="H65" s="631"/>
      <c r="I65" s="631"/>
      <c r="J65" s="631"/>
      <c r="K65" s="631"/>
      <c r="L65" s="632"/>
      <c r="M65" s="633"/>
      <c r="N65" s="633"/>
      <c r="O65" s="633"/>
      <c r="P65" s="631"/>
      <c r="Q65" s="178"/>
    </row>
    <row r="66" spans="1:17" s="68" customFormat="1">
      <c r="A66" s="378">
        <f t="shared" si="3"/>
        <v>52</v>
      </c>
      <c r="B66" s="378" t="s">
        <v>149</v>
      </c>
      <c r="C66" s="554" t="s">
        <v>1784</v>
      </c>
      <c r="D66" s="434" t="s">
        <v>93</v>
      </c>
      <c r="E66" s="379">
        <v>4</v>
      </c>
      <c r="F66" s="631"/>
      <c r="G66" s="632"/>
      <c r="H66" s="631"/>
      <c r="I66" s="631"/>
      <c r="J66" s="631"/>
      <c r="K66" s="631"/>
      <c r="L66" s="632"/>
      <c r="M66" s="633"/>
      <c r="N66" s="633"/>
      <c r="O66" s="633"/>
      <c r="P66" s="631"/>
      <c r="Q66" s="178"/>
    </row>
    <row r="67" spans="1:17" s="68" customFormat="1">
      <c r="A67" s="378">
        <f t="shared" si="3"/>
        <v>53</v>
      </c>
      <c r="B67" s="378" t="s">
        <v>149</v>
      </c>
      <c r="C67" s="561" t="s">
        <v>1324</v>
      </c>
      <c r="D67" s="635" t="s">
        <v>93</v>
      </c>
      <c r="E67" s="582">
        <v>2</v>
      </c>
      <c r="F67" s="631"/>
      <c r="G67" s="632"/>
      <c r="H67" s="631"/>
      <c r="I67" s="631"/>
      <c r="J67" s="631"/>
      <c r="K67" s="631"/>
      <c r="L67" s="632"/>
      <c r="M67" s="633"/>
      <c r="N67" s="633"/>
      <c r="O67" s="633"/>
      <c r="P67" s="631"/>
      <c r="Q67" s="178"/>
    </row>
    <row r="68" spans="1:17" s="68" customFormat="1">
      <c r="A68" s="378">
        <f t="shared" si="3"/>
        <v>54</v>
      </c>
      <c r="B68" s="378" t="s">
        <v>149</v>
      </c>
      <c r="C68" s="561" t="s">
        <v>1325</v>
      </c>
      <c r="D68" s="635" t="s">
        <v>90</v>
      </c>
      <c r="E68" s="582">
        <v>1</v>
      </c>
      <c r="F68" s="631"/>
      <c r="G68" s="632"/>
      <c r="H68" s="631"/>
      <c r="I68" s="631"/>
      <c r="J68" s="631"/>
      <c r="K68" s="631"/>
      <c r="L68" s="632"/>
      <c r="M68" s="633"/>
      <c r="N68" s="633"/>
      <c r="O68" s="633"/>
      <c r="P68" s="631"/>
      <c r="Q68" s="178"/>
    </row>
    <row r="69" spans="1:17" s="68" customFormat="1">
      <c r="A69" s="378">
        <f t="shared" si="3"/>
        <v>55</v>
      </c>
      <c r="B69" s="378" t="s">
        <v>149</v>
      </c>
      <c r="C69" s="636" t="s">
        <v>1329</v>
      </c>
      <c r="D69" s="555" t="s">
        <v>77</v>
      </c>
      <c r="E69" s="354">
        <v>5</v>
      </c>
      <c r="F69" s="631"/>
      <c r="G69" s="632"/>
      <c r="H69" s="631"/>
      <c r="I69" s="631"/>
      <c r="J69" s="631"/>
      <c r="K69" s="631"/>
      <c r="L69" s="632"/>
      <c r="M69" s="633"/>
      <c r="N69" s="633"/>
      <c r="O69" s="633"/>
      <c r="P69" s="631"/>
      <c r="Q69" s="178"/>
    </row>
    <row r="70" spans="1:17" s="68" customFormat="1">
      <c r="A70" s="378">
        <f t="shared" si="3"/>
        <v>56</v>
      </c>
      <c r="B70" s="378" t="s">
        <v>149</v>
      </c>
      <c r="C70" s="636" t="s">
        <v>1348</v>
      </c>
      <c r="D70" s="378" t="s">
        <v>77</v>
      </c>
      <c r="E70" s="354">
        <v>20</v>
      </c>
      <c r="F70" s="631"/>
      <c r="G70" s="632"/>
      <c r="H70" s="631"/>
      <c r="I70" s="631"/>
      <c r="J70" s="631"/>
      <c r="K70" s="631"/>
      <c r="L70" s="632"/>
      <c r="M70" s="633"/>
      <c r="N70" s="633"/>
      <c r="O70" s="633"/>
      <c r="P70" s="631"/>
      <c r="Q70" s="178"/>
    </row>
    <row r="71" spans="1:17" s="68" customFormat="1">
      <c r="A71" s="378">
        <f t="shared" si="3"/>
        <v>57</v>
      </c>
      <c r="B71" s="378" t="s">
        <v>149</v>
      </c>
      <c r="C71" s="561" t="s">
        <v>1331</v>
      </c>
      <c r="D71" s="378" t="s">
        <v>1781</v>
      </c>
      <c r="E71" s="354">
        <v>5</v>
      </c>
      <c r="F71" s="631"/>
      <c r="G71" s="632"/>
      <c r="H71" s="631"/>
      <c r="I71" s="631"/>
      <c r="J71" s="631"/>
      <c r="K71" s="631"/>
      <c r="L71" s="632"/>
      <c r="M71" s="633"/>
      <c r="N71" s="633"/>
      <c r="O71" s="633"/>
      <c r="P71" s="631"/>
      <c r="Q71" s="178"/>
    </row>
    <row r="72" spans="1:17" s="68" customFormat="1">
      <c r="A72" s="378">
        <f t="shared" si="3"/>
        <v>58</v>
      </c>
      <c r="B72" s="378" t="s">
        <v>149</v>
      </c>
      <c r="C72" s="561" t="s">
        <v>1332</v>
      </c>
      <c r="D72" s="378" t="s">
        <v>77</v>
      </c>
      <c r="E72" s="354">
        <v>5</v>
      </c>
      <c r="F72" s="631"/>
      <c r="G72" s="632"/>
      <c r="H72" s="631"/>
      <c r="I72" s="631"/>
      <c r="J72" s="631"/>
      <c r="K72" s="631"/>
      <c r="L72" s="632"/>
      <c r="M72" s="633"/>
      <c r="N72" s="633"/>
      <c r="O72" s="633"/>
      <c r="P72" s="631"/>
      <c r="Q72" s="178"/>
    </row>
    <row r="73" spans="1:17" s="68" customFormat="1">
      <c r="A73" s="378">
        <f t="shared" si="3"/>
        <v>59</v>
      </c>
      <c r="B73" s="378" t="s">
        <v>149</v>
      </c>
      <c r="C73" s="561" t="s">
        <v>1349</v>
      </c>
      <c r="D73" s="378" t="s">
        <v>77</v>
      </c>
      <c r="E73" s="354">
        <v>20</v>
      </c>
      <c r="F73" s="631"/>
      <c r="G73" s="632"/>
      <c r="H73" s="631"/>
      <c r="I73" s="631"/>
      <c r="J73" s="631"/>
      <c r="K73" s="631"/>
      <c r="L73" s="632"/>
      <c r="M73" s="633"/>
      <c r="N73" s="633"/>
      <c r="O73" s="633"/>
      <c r="P73" s="631"/>
      <c r="Q73" s="178"/>
    </row>
    <row r="74" spans="1:17" s="68" customFormat="1">
      <c r="A74" s="378">
        <f t="shared" si="3"/>
        <v>60</v>
      </c>
      <c r="B74" s="378" t="s">
        <v>149</v>
      </c>
      <c r="C74" s="542" t="s">
        <v>88</v>
      </c>
      <c r="D74" s="566" t="s">
        <v>100</v>
      </c>
      <c r="E74" s="582">
        <v>1</v>
      </c>
      <c r="F74" s="631"/>
      <c r="G74" s="632"/>
      <c r="H74" s="631"/>
      <c r="I74" s="631"/>
      <c r="J74" s="631"/>
      <c r="K74" s="631"/>
      <c r="L74" s="632"/>
      <c r="M74" s="633"/>
      <c r="N74" s="633"/>
      <c r="O74" s="633"/>
      <c r="P74" s="631"/>
      <c r="Q74" s="178"/>
    </row>
    <row r="75" spans="1:17" s="68" customFormat="1">
      <c r="A75" s="378">
        <f t="shared" si="3"/>
        <v>61</v>
      </c>
      <c r="B75" s="378" t="s">
        <v>149</v>
      </c>
      <c r="C75" s="377" t="s">
        <v>1336</v>
      </c>
      <c r="D75" s="566" t="s">
        <v>100</v>
      </c>
      <c r="E75" s="582">
        <v>1</v>
      </c>
      <c r="F75" s="631"/>
      <c r="G75" s="632"/>
      <c r="H75" s="631"/>
      <c r="I75" s="631"/>
      <c r="J75" s="631"/>
      <c r="K75" s="631"/>
      <c r="L75" s="632"/>
      <c r="M75" s="633"/>
      <c r="N75" s="633"/>
      <c r="O75" s="633"/>
      <c r="P75" s="631"/>
      <c r="Q75" s="178"/>
    </row>
    <row r="76" spans="1:17" s="68" customFormat="1">
      <c r="A76" s="378">
        <f>A75+1</f>
        <v>62</v>
      </c>
      <c r="B76" s="378" t="s">
        <v>149</v>
      </c>
      <c r="C76" s="377" t="s">
        <v>981</v>
      </c>
      <c r="D76" s="566" t="s">
        <v>100</v>
      </c>
      <c r="E76" s="582">
        <v>1</v>
      </c>
      <c r="F76" s="631"/>
      <c r="G76" s="632"/>
      <c r="H76" s="631"/>
      <c r="I76" s="631"/>
      <c r="J76" s="631"/>
      <c r="K76" s="631"/>
      <c r="L76" s="632"/>
      <c r="M76" s="633"/>
      <c r="N76" s="633"/>
      <c r="O76" s="633"/>
      <c r="P76" s="631"/>
      <c r="Q76" s="178"/>
    </row>
    <row r="77" spans="1:17" s="68" customFormat="1" ht="24.75">
      <c r="A77" s="382">
        <f>A76+1</f>
        <v>63</v>
      </c>
      <c r="B77" s="382" t="s">
        <v>149</v>
      </c>
      <c r="C77" s="637" t="s">
        <v>1337</v>
      </c>
      <c r="D77" s="578" t="s">
        <v>100</v>
      </c>
      <c r="E77" s="441">
        <v>1</v>
      </c>
      <c r="F77" s="578"/>
      <c r="G77" s="634"/>
      <c r="H77" s="638"/>
      <c r="I77" s="634"/>
      <c r="J77" s="425"/>
      <c r="K77" s="634"/>
      <c r="L77" s="638"/>
      <c r="M77" s="639"/>
      <c r="N77" s="639"/>
      <c r="O77" s="639"/>
      <c r="P77" s="634"/>
      <c r="Q77" s="178"/>
    </row>
    <row r="78" spans="1:17" s="68" customFormat="1" ht="24">
      <c r="A78" s="623"/>
      <c r="B78" s="624"/>
      <c r="C78" s="623" t="s">
        <v>1350</v>
      </c>
      <c r="D78" s="624"/>
      <c r="E78" s="648"/>
      <c r="F78" s="624"/>
      <c r="G78" s="624"/>
      <c r="H78" s="624"/>
      <c r="I78" s="624"/>
      <c r="J78" s="624"/>
      <c r="K78" s="625"/>
      <c r="L78" s="626"/>
      <c r="M78" s="627"/>
      <c r="N78" s="627"/>
      <c r="O78" s="627"/>
      <c r="P78" s="625"/>
      <c r="Q78" s="178"/>
    </row>
    <row r="79" spans="1:17" s="68" customFormat="1">
      <c r="A79" s="387">
        <f>1+A77</f>
        <v>64</v>
      </c>
      <c r="B79" s="387" t="s">
        <v>149</v>
      </c>
      <c r="C79" s="551" t="s">
        <v>1303</v>
      </c>
      <c r="D79" s="552" t="s">
        <v>90</v>
      </c>
      <c r="E79" s="433">
        <v>1</v>
      </c>
      <c r="F79" s="628"/>
      <c r="G79" s="629"/>
      <c r="H79" s="628"/>
      <c r="I79" s="628"/>
      <c r="J79" s="628"/>
      <c r="K79" s="628"/>
      <c r="L79" s="629"/>
      <c r="M79" s="630"/>
      <c r="N79" s="630"/>
      <c r="O79" s="630"/>
      <c r="P79" s="628"/>
      <c r="Q79" s="178"/>
    </row>
    <row r="80" spans="1:17" s="68" customFormat="1" ht="24">
      <c r="A80" s="378">
        <f t="shared" ref="A80:A92" si="4">A79+1</f>
        <v>65</v>
      </c>
      <c r="B80" s="378" t="s">
        <v>149</v>
      </c>
      <c r="C80" s="554" t="s">
        <v>1339</v>
      </c>
      <c r="D80" s="555" t="s">
        <v>90</v>
      </c>
      <c r="E80" s="379">
        <v>1</v>
      </c>
      <c r="F80" s="631"/>
      <c r="G80" s="632"/>
      <c r="H80" s="631"/>
      <c r="I80" s="631"/>
      <c r="J80" s="631"/>
      <c r="K80" s="631"/>
      <c r="L80" s="632"/>
      <c r="M80" s="633"/>
      <c r="N80" s="633"/>
      <c r="O80" s="633"/>
      <c r="P80" s="631"/>
      <c r="Q80" s="178"/>
    </row>
    <row r="81" spans="1:17" s="68" customFormat="1" ht="36">
      <c r="A81" s="378">
        <f t="shared" si="4"/>
        <v>66</v>
      </c>
      <c r="B81" s="378" t="s">
        <v>149</v>
      </c>
      <c r="C81" s="554" t="s">
        <v>1351</v>
      </c>
      <c r="D81" s="555" t="s">
        <v>90</v>
      </c>
      <c r="E81" s="379">
        <v>1</v>
      </c>
      <c r="F81" s="631"/>
      <c r="G81" s="632"/>
      <c r="H81" s="631"/>
      <c r="I81" s="424"/>
      <c r="J81" s="631"/>
      <c r="K81" s="631"/>
      <c r="L81" s="632"/>
      <c r="M81" s="633"/>
      <c r="N81" s="633"/>
      <c r="O81" s="633"/>
      <c r="P81" s="631"/>
      <c r="Q81" s="178"/>
    </row>
    <row r="82" spans="1:17" s="68" customFormat="1" ht="36">
      <c r="A82" s="378">
        <f t="shared" si="4"/>
        <v>67</v>
      </c>
      <c r="B82" s="378" t="s">
        <v>149</v>
      </c>
      <c r="C82" s="542" t="s">
        <v>1352</v>
      </c>
      <c r="D82" s="555" t="s">
        <v>90</v>
      </c>
      <c r="E82" s="379">
        <v>1</v>
      </c>
      <c r="F82" s="631"/>
      <c r="G82" s="632"/>
      <c r="H82" s="631"/>
      <c r="I82" s="424"/>
      <c r="J82" s="631"/>
      <c r="K82" s="631"/>
      <c r="L82" s="632"/>
      <c r="M82" s="633"/>
      <c r="N82" s="633"/>
      <c r="O82" s="633"/>
      <c r="P82" s="631"/>
      <c r="Q82" s="178"/>
    </row>
    <row r="83" spans="1:17" s="68" customFormat="1" ht="24">
      <c r="A83" s="378">
        <f t="shared" si="4"/>
        <v>68</v>
      </c>
      <c r="B83" s="378" t="s">
        <v>149</v>
      </c>
      <c r="C83" s="554" t="s">
        <v>1353</v>
      </c>
      <c r="D83" s="555" t="s">
        <v>90</v>
      </c>
      <c r="E83" s="379">
        <v>2</v>
      </c>
      <c r="F83" s="631"/>
      <c r="G83" s="632"/>
      <c r="H83" s="631"/>
      <c r="I83" s="631"/>
      <c r="J83" s="631"/>
      <c r="K83" s="631"/>
      <c r="L83" s="632"/>
      <c r="M83" s="633"/>
      <c r="N83" s="633"/>
      <c r="O83" s="633"/>
      <c r="P83" s="631"/>
      <c r="Q83" s="178"/>
    </row>
    <row r="84" spans="1:17" s="68" customFormat="1" ht="24">
      <c r="A84" s="378">
        <f t="shared" si="4"/>
        <v>69</v>
      </c>
      <c r="B84" s="378" t="s">
        <v>149</v>
      </c>
      <c r="C84" s="554" t="s">
        <v>1354</v>
      </c>
      <c r="D84" s="555" t="s">
        <v>100</v>
      </c>
      <c r="E84" s="354">
        <v>1</v>
      </c>
      <c r="F84" s="631"/>
      <c r="G84" s="632"/>
      <c r="H84" s="631"/>
      <c r="I84" s="631"/>
      <c r="J84" s="631"/>
      <c r="K84" s="631"/>
      <c r="L84" s="632"/>
      <c r="M84" s="633"/>
      <c r="N84" s="633"/>
      <c r="O84" s="633"/>
      <c r="P84" s="631"/>
      <c r="Q84" s="178"/>
    </row>
    <row r="85" spans="1:17" s="68" customFormat="1">
      <c r="A85" s="378">
        <f t="shared" si="4"/>
        <v>70</v>
      </c>
      <c r="B85" s="378" t="s">
        <v>149</v>
      </c>
      <c r="C85" s="554" t="s">
        <v>1344</v>
      </c>
      <c r="D85" s="555" t="s">
        <v>93</v>
      </c>
      <c r="E85" s="379">
        <v>1</v>
      </c>
      <c r="F85" s="631"/>
      <c r="G85" s="632"/>
      <c r="H85" s="631"/>
      <c r="I85" s="631"/>
      <c r="J85" s="631"/>
      <c r="K85" s="631"/>
      <c r="L85" s="632"/>
      <c r="M85" s="633"/>
      <c r="N85" s="633"/>
      <c r="O85" s="633"/>
      <c r="P85" s="631"/>
      <c r="Q85" s="178"/>
    </row>
    <row r="86" spans="1:17" s="68" customFormat="1" ht="24">
      <c r="A86" s="378">
        <f t="shared" si="4"/>
        <v>71</v>
      </c>
      <c r="B86" s="378" t="s">
        <v>149</v>
      </c>
      <c r="C86" s="554" t="s">
        <v>1313</v>
      </c>
      <c r="D86" s="555" t="s">
        <v>93</v>
      </c>
      <c r="E86" s="379">
        <v>1</v>
      </c>
      <c r="F86" s="631"/>
      <c r="G86" s="632"/>
      <c r="H86" s="631"/>
      <c r="I86" s="631"/>
      <c r="J86" s="631"/>
      <c r="K86" s="631"/>
      <c r="L86" s="632"/>
      <c r="M86" s="633"/>
      <c r="N86" s="633"/>
      <c r="O86" s="633"/>
      <c r="P86" s="631"/>
      <c r="Q86" s="178"/>
    </row>
    <row r="87" spans="1:17" s="68" customFormat="1">
      <c r="A87" s="378">
        <f t="shared" si="4"/>
        <v>72</v>
      </c>
      <c r="B87" s="378" t="s">
        <v>149</v>
      </c>
      <c r="C87" s="554" t="s">
        <v>1355</v>
      </c>
      <c r="D87" s="555" t="s">
        <v>93</v>
      </c>
      <c r="E87" s="379">
        <v>1</v>
      </c>
      <c r="F87" s="631"/>
      <c r="G87" s="632"/>
      <c r="H87" s="631"/>
      <c r="I87" s="631"/>
      <c r="J87" s="631"/>
      <c r="K87" s="631"/>
      <c r="L87" s="632"/>
      <c r="M87" s="633"/>
      <c r="N87" s="633"/>
      <c r="O87" s="633"/>
      <c r="P87" s="631"/>
      <c r="Q87" s="178"/>
    </row>
    <row r="88" spans="1:17" s="68" customFormat="1">
      <c r="A88" s="378">
        <f t="shared" si="4"/>
        <v>73</v>
      </c>
      <c r="B88" s="378" t="s">
        <v>149</v>
      </c>
      <c r="C88" s="561" t="s">
        <v>1317</v>
      </c>
      <c r="D88" s="434" t="s">
        <v>93</v>
      </c>
      <c r="E88" s="379">
        <v>4</v>
      </c>
      <c r="F88" s="631"/>
      <c r="G88" s="632"/>
      <c r="H88" s="631"/>
      <c r="I88" s="631"/>
      <c r="J88" s="631"/>
      <c r="K88" s="631"/>
      <c r="L88" s="632"/>
      <c r="M88" s="633"/>
      <c r="N88" s="633"/>
      <c r="O88" s="633"/>
      <c r="P88" s="631"/>
      <c r="Q88" s="178"/>
    </row>
    <row r="89" spans="1:17" s="68" customFormat="1">
      <c r="A89" s="378">
        <f t="shared" si="4"/>
        <v>74</v>
      </c>
      <c r="B89" s="378" t="s">
        <v>149</v>
      </c>
      <c r="C89" s="561" t="s">
        <v>1356</v>
      </c>
      <c r="D89" s="434" t="s">
        <v>93</v>
      </c>
      <c r="E89" s="379">
        <v>3</v>
      </c>
      <c r="F89" s="631"/>
      <c r="G89" s="632"/>
      <c r="H89" s="631"/>
      <c r="I89" s="631"/>
      <c r="J89" s="631"/>
      <c r="K89" s="631"/>
      <c r="L89" s="632"/>
      <c r="M89" s="633"/>
      <c r="N89" s="633"/>
      <c r="O89" s="633"/>
      <c r="P89" s="631"/>
      <c r="Q89" s="178"/>
    </row>
    <row r="90" spans="1:17" s="68" customFormat="1">
      <c r="A90" s="378">
        <f t="shared" si="4"/>
        <v>75</v>
      </c>
      <c r="B90" s="378" t="s">
        <v>149</v>
      </c>
      <c r="C90" s="554" t="s">
        <v>1322</v>
      </c>
      <c r="D90" s="434" t="s">
        <v>93</v>
      </c>
      <c r="E90" s="379">
        <v>4</v>
      </c>
      <c r="F90" s="631"/>
      <c r="G90" s="632"/>
      <c r="H90" s="631"/>
      <c r="I90" s="631"/>
      <c r="J90" s="631"/>
      <c r="K90" s="631"/>
      <c r="L90" s="632"/>
      <c r="M90" s="633"/>
      <c r="N90" s="633"/>
      <c r="O90" s="633"/>
      <c r="P90" s="631"/>
      <c r="Q90" s="178"/>
    </row>
    <row r="91" spans="1:17" s="68" customFormat="1">
      <c r="A91" s="378">
        <f t="shared" si="4"/>
        <v>76</v>
      </c>
      <c r="B91" s="378" t="s">
        <v>149</v>
      </c>
      <c r="C91" s="554" t="s">
        <v>1323</v>
      </c>
      <c r="D91" s="434" t="s">
        <v>93</v>
      </c>
      <c r="E91" s="379">
        <v>3</v>
      </c>
      <c r="F91" s="631"/>
      <c r="G91" s="632"/>
      <c r="H91" s="631"/>
      <c r="I91" s="631"/>
      <c r="J91" s="631"/>
      <c r="K91" s="631"/>
      <c r="L91" s="632"/>
      <c r="M91" s="633"/>
      <c r="N91" s="633"/>
      <c r="O91" s="633"/>
      <c r="P91" s="631"/>
      <c r="Q91" s="178"/>
    </row>
    <row r="92" spans="1:17" s="68" customFormat="1">
      <c r="A92" s="378">
        <f t="shared" si="4"/>
        <v>77</v>
      </c>
      <c r="B92" s="378" t="s">
        <v>149</v>
      </c>
      <c r="C92" s="554" t="s">
        <v>1784</v>
      </c>
      <c r="D92" s="434" t="s">
        <v>93</v>
      </c>
      <c r="E92" s="379">
        <v>4</v>
      </c>
      <c r="F92" s="631"/>
      <c r="G92" s="632"/>
      <c r="H92" s="631"/>
      <c r="I92" s="631"/>
      <c r="J92" s="631"/>
      <c r="K92" s="631"/>
      <c r="L92" s="632"/>
      <c r="M92" s="633"/>
      <c r="N92" s="633"/>
      <c r="O92" s="633"/>
      <c r="P92" s="631"/>
      <c r="Q92" s="178"/>
    </row>
    <row r="93" spans="1:17" s="68" customFormat="1">
      <c r="A93" s="378">
        <f>A92+1</f>
        <v>78</v>
      </c>
      <c r="B93" s="378" t="s">
        <v>149</v>
      </c>
      <c r="C93" s="561" t="s">
        <v>1324</v>
      </c>
      <c r="D93" s="635" t="s">
        <v>93</v>
      </c>
      <c r="E93" s="582">
        <v>2</v>
      </c>
      <c r="F93" s="631"/>
      <c r="G93" s="632"/>
      <c r="H93" s="631"/>
      <c r="I93" s="631"/>
      <c r="J93" s="631"/>
      <c r="K93" s="631"/>
      <c r="L93" s="632"/>
      <c r="M93" s="633"/>
      <c r="N93" s="633"/>
      <c r="O93" s="633"/>
      <c r="P93" s="631"/>
      <c r="Q93" s="178"/>
    </row>
    <row r="94" spans="1:17" s="68" customFormat="1">
      <c r="A94" s="378">
        <f t="shared" ref="A94:A156" si="5">A93+1</f>
        <v>79</v>
      </c>
      <c r="B94" s="378" t="s">
        <v>149</v>
      </c>
      <c r="C94" s="561" t="s">
        <v>1325</v>
      </c>
      <c r="D94" s="635" t="s">
        <v>90</v>
      </c>
      <c r="E94" s="582">
        <v>1</v>
      </c>
      <c r="F94" s="631"/>
      <c r="G94" s="632"/>
      <c r="H94" s="631"/>
      <c r="I94" s="631"/>
      <c r="J94" s="631"/>
      <c r="K94" s="631"/>
      <c r="L94" s="632"/>
      <c r="M94" s="633"/>
      <c r="N94" s="633"/>
      <c r="O94" s="633"/>
      <c r="P94" s="631"/>
      <c r="Q94" s="178"/>
    </row>
    <row r="95" spans="1:17" s="68" customFormat="1">
      <c r="A95" s="378">
        <f t="shared" si="5"/>
        <v>80</v>
      </c>
      <c r="B95" s="378" t="s">
        <v>149</v>
      </c>
      <c r="C95" s="636" t="s">
        <v>1329</v>
      </c>
      <c r="D95" s="555" t="s">
        <v>77</v>
      </c>
      <c r="E95" s="354">
        <v>5</v>
      </c>
      <c r="F95" s="631"/>
      <c r="G95" s="632"/>
      <c r="H95" s="631"/>
      <c r="I95" s="631"/>
      <c r="J95" s="631"/>
      <c r="K95" s="631"/>
      <c r="L95" s="632"/>
      <c r="M95" s="633"/>
      <c r="N95" s="633"/>
      <c r="O95" s="633"/>
      <c r="P95" s="631"/>
      <c r="Q95" s="178"/>
    </row>
    <row r="96" spans="1:17" s="68" customFormat="1">
      <c r="A96" s="378">
        <f t="shared" si="5"/>
        <v>81</v>
      </c>
      <c r="B96" s="378" t="s">
        <v>149</v>
      </c>
      <c r="C96" s="636" t="s">
        <v>1357</v>
      </c>
      <c r="D96" s="378" t="s">
        <v>77</v>
      </c>
      <c r="E96" s="354">
        <v>20</v>
      </c>
      <c r="F96" s="631"/>
      <c r="G96" s="632"/>
      <c r="H96" s="631"/>
      <c r="I96" s="631"/>
      <c r="J96" s="631"/>
      <c r="K96" s="631"/>
      <c r="L96" s="632"/>
      <c r="M96" s="633"/>
      <c r="N96" s="633"/>
      <c r="O96" s="633"/>
      <c r="P96" s="631"/>
      <c r="Q96" s="178"/>
    </row>
    <row r="97" spans="1:17" s="68" customFormat="1">
      <c r="A97" s="378">
        <f t="shared" si="5"/>
        <v>82</v>
      </c>
      <c r="B97" s="378" t="s">
        <v>149</v>
      </c>
      <c r="C97" s="561" t="s">
        <v>1331</v>
      </c>
      <c r="D97" s="378" t="s">
        <v>1781</v>
      </c>
      <c r="E97" s="354">
        <v>5</v>
      </c>
      <c r="F97" s="631"/>
      <c r="G97" s="632"/>
      <c r="H97" s="631"/>
      <c r="I97" s="631"/>
      <c r="J97" s="631"/>
      <c r="K97" s="631"/>
      <c r="L97" s="632"/>
      <c r="M97" s="633"/>
      <c r="N97" s="633"/>
      <c r="O97" s="633"/>
      <c r="P97" s="631"/>
      <c r="Q97" s="178"/>
    </row>
    <row r="98" spans="1:17" s="68" customFormat="1">
      <c r="A98" s="378">
        <f t="shared" si="5"/>
        <v>83</v>
      </c>
      <c r="B98" s="378" t="s">
        <v>149</v>
      </c>
      <c r="C98" s="561" t="s">
        <v>1332</v>
      </c>
      <c r="D98" s="378" t="s">
        <v>77</v>
      </c>
      <c r="E98" s="354">
        <v>5</v>
      </c>
      <c r="F98" s="631"/>
      <c r="G98" s="632"/>
      <c r="H98" s="631"/>
      <c r="I98" s="631"/>
      <c r="J98" s="631"/>
      <c r="K98" s="631"/>
      <c r="L98" s="632"/>
      <c r="M98" s="633"/>
      <c r="N98" s="633"/>
      <c r="O98" s="633"/>
      <c r="P98" s="631"/>
      <c r="Q98" s="178"/>
    </row>
    <row r="99" spans="1:17" s="68" customFormat="1">
      <c r="A99" s="378">
        <f t="shared" si="5"/>
        <v>84</v>
      </c>
      <c r="B99" s="378" t="s">
        <v>149</v>
      </c>
      <c r="C99" s="561" t="s">
        <v>1358</v>
      </c>
      <c r="D99" s="378" t="s">
        <v>77</v>
      </c>
      <c r="E99" s="354">
        <v>20</v>
      </c>
      <c r="F99" s="631"/>
      <c r="G99" s="632"/>
      <c r="H99" s="631"/>
      <c r="I99" s="631"/>
      <c r="J99" s="631"/>
      <c r="K99" s="631"/>
      <c r="L99" s="632"/>
      <c r="M99" s="633"/>
      <c r="N99" s="633"/>
      <c r="O99" s="633"/>
      <c r="P99" s="631"/>
      <c r="Q99" s="178"/>
    </row>
    <row r="100" spans="1:17" s="68" customFormat="1">
      <c r="A100" s="378">
        <f t="shared" si="5"/>
        <v>85</v>
      </c>
      <c r="B100" s="378" t="s">
        <v>149</v>
      </c>
      <c r="C100" s="377" t="s">
        <v>963</v>
      </c>
      <c r="D100" s="378" t="s">
        <v>86</v>
      </c>
      <c r="E100" s="354">
        <v>200</v>
      </c>
      <c r="F100" s="631"/>
      <c r="G100" s="632"/>
      <c r="H100" s="631"/>
      <c r="I100" s="631"/>
      <c r="J100" s="631"/>
      <c r="K100" s="631"/>
      <c r="L100" s="632"/>
      <c r="M100" s="633"/>
      <c r="N100" s="633"/>
      <c r="O100" s="633"/>
      <c r="P100" s="631"/>
      <c r="Q100" s="178"/>
    </row>
    <row r="101" spans="1:17" s="68" customFormat="1">
      <c r="A101" s="378">
        <f t="shared" si="5"/>
        <v>86</v>
      </c>
      <c r="B101" s="378" t="s">
        <v>149</v>
      </c>
      <c r="C101" s="542" t="s">
        <v>88</v>
      </c>
      <c r="D101" s="566" t="s">
        <v>100</v>
      </c>
      <c r="E101" s="582">
        <v>1</v>
      </c>
      <c r="F101" s="631"/>
      <c r="G101" s="632"/>
      <c r="H101" s="631"/>
      <c r="I101" s="631"/>
      <c r="J101" s="631"/>
      <c r="K101" s="631"/>
      <c r="L101" s="632"/>
      <c r="M101" s="633"/>
      <c r="N101" s="633"/>
      <c r="O101" s="633"/>
      <c r="P101" s="631"/>
      <c r="Q101" s="178"/>
    </row>
    <row r="102" spans="1:17" s="68" customFormat="1">
      <c r="A102" s="378">
        <f t="shared" si="5"/>
        <v>87</v>
      </c>
      <c r="B102" s="378" t="s">
        <v>149</v>
      </c>
      <c r="C102" s="377" t="s">
        <v>1336</v>
      </c>
      <c r="D102" s="566" t="s">
        <v>100</v>
      </c>
      <c r="E102" s="582">
        <v>1</v>
      </c>
      <c r="F102" s="631"/>
      <c r="G102" s="632"/>
      <c r="H102" s="631"/>
      <c r="I102" s="631"/>
      <c r="J102" s="631"/>
      <c r="K102" s="631"/>
      <c r="L102" s="632"/>
      <c r="M102" s="633"/>
      <c r="N102" s="633"/>
      <c r="O102" s="633"/>
      <c r="P102" s="631"/>
      <c r="Q102" s="178"/>
    </row>
    <row r="103" spans="1:17" s="68" customFormat="1">
      <c r="A103" s="378">
        <f t="shared" si="5"/>
        <v>88</v>
      </c>
      <c r="B103" s="378" t="s">
        <v>149</v>
      </c>
      <c r="C103" s="377" t="s">
        <v>981</v>
      </c>
      <c r="D103" s="566" t="s">
        <v>100</v>
      </c>
      <c r="E103" s="582">
        <v>1</v>
      </c>
      <c r="F103" s="631"/>
      <c r="G103" s="632"/>
      <c r="H103" s="631"/>
      <c r="I103" s="631"/>
      <c r="J103" s="631"/>
      <c r="K103" s="631"/>
      <c r="L103" s="632"/>
      <c r="M103" s="633"/>
      <c r="N103" s="633"/>
      <c r="O103" s="633"/>
      <c r="P103" s="631"/>
      <c r="Q103" s="178"/>
    </row>
    <row r="104" spans="1:17" s="68" customFormat="1" ht="24.75">
      <c r="A104" s="382">
        <f t="shared" si="5"/>
        <v>89</v>
      </c>
      <c r="B104" s="382" t="s">
        <v>149</v>
      </c>
      <c r="C104" s="637" t="s">
        <v>1337</v>
      </c>
      <c r="D104" s="578" t="s">
        <v>100</v>
      </c>
      <c r="E104" s="441">
        <v>1</v>
      </c>
      <c r="F104" s="578"/>
      <c r="G104" s="634"/>
      <c r="H104" s="638"/>
      <c r="I104" s="634"/>
      <c r="J104" s="425"/>
      <c r="K104" s="634"/>
      <c r="L104" s="638"/>
      <c r="M104" s="639"/>
      <c r="N104" s="639"/>
      <c r="O104" s="639"/>
      <c r="P104" s="634"/>
      <c r="Q104" s="178"/>
    </row>
    <row r="105" spans="1:17" s="68" customFormat="1" ht="24">
      <c r="A105" s="623"/>
      <c r="B105" s="624"/>
      <c r="C105" s="623" t="s">
        <v>1359</v>
      </c>
      <c r="D105" s="624"/>
      <c r="E105" s="648"/>
      <c r="F105" s="624"/>
      <c r="G105" s="624"/>
      <c r="H105" s="624"/>
      <c r="I105" s="624"/>
      <c r="J105" s="624"/>
      <c r="K105" s="625"/>
      <c r="L105" s="626"/>
      <c r="M105" s="627"/>
      <c r="N105" s="627"/>
      <c r="O105" s="627"/>
      <c r="P105" s="625"/>
      <c r="Q105" s="178"/>
    </row>
    <row r="106" spans="1:17" s="68" customFormat="1">
      <c r="A106" s="387">
        <f>1+A104</f>
        <v>90</v>
      </c>
      <c r="B106" s="387" t="s">
        <v>149</v>
      </c>
      <c r="C106" s="551" t="s">
        <v>1303</v>
      </c>
      <c r="D106" s="552" t="s">
        <v>90</v>
      </c>
      <c r="E106" s="433">
        <v>1</v>
      </c>
      <c r="F106" s="628"/>
      <c r="G106" s="629"/>
      <c r="H106" s="628"/>
      <c r="I106" s="628"/>
      <c r="J106" s="628"/>
      <c r="K106" s="628"/>
      <c r="L106" s="629"/>
      <c r="M106" s="630"/>
      <c r="N106" s="630"/>
      <c r="O106" s="630"/>
      <c r="P106" s="628"/>
      <c r="Q106" s="178"/>
    </row>
    <row r="107" spans="1:17" s="68" customFormat="1" ht="24">
      <c r="A107" s="378">
        <f t="shared" si="5"/>
        <v>91</v>
      </c>
      <c r="B107" s="378" t="s">
        <v>149</v>
      </c>
      <c r="C107" s="554" t="s">
        <v>1339</v>
      </c>
      <c r="D107" s="555" t="s">
        <v>90</v>
      </c>
      <c r="E107" s="379">
        <v>1</v>
      </c>
      <c r="F107" s="631"/>
      <c r="G107" s="632"/>
      <c r="H107" s="631"/>
      <c r="I107" s="631"/>
      <c r="J107" s="631"/>
      <c r="K107" s="631"/>
      <c r="L107" s="632"/>
      <c r="M107" s="633"/>
      <c r="N107" s="633"/>
      <c r="O107" s="633"/>
      <c r="P107" s="631"/>
      <c r="Q107" s="178"/>
    </row>
    <row r="108" spans="1:17" s="68" customFormat="1" ht="36">
      <c r="A108" s="378">
        <f t="shared" si="5"/>
        <v>92</v>
      </c>
      <c r="B108" s="378" t="s">
        <v>149</v>
      </c>
      <c r="C108" s="554" t="s">
        <v>1360</v>
      </c>
      <c r="D108" s="555" t="s">
        <v>90</v>
      </c>
      <c r="E108" s="379">
        <v>1</v>
      </c>
      <c r="F108" s="631"/>
      <c r="G108" s="632"/>
      <c r="H108" s="631"/>
      <c r="I108" s="424"/>
      <c r="J108" s="631"/>
      <c r="K108" s="631"/>
      <c r="L108" s="632"/>
      <c r="M108" s="633"/>
      <c r="N108" s="633"/>
      <c r="O108" s="633"/>
      <c r="P108" s="631"/>
      <c r="Q108" s="178"/>
    </row>
    <row r="109" spans="1:17" s="68" customFormat="1" ht="36">
      <c r="A109" s="378">
        <f t="shared" si="5"/>
        <v>93</v>
      </c>
      <c r="B109" s="378" t="s">
        <v>149</v>
      </c>
      <c r="C109" s="542" t="s">
        <v>1361</v>
      </c>
      <c r="D109" s="555" t="s">
        <v>90</v>
      </c>
      <c r="E109" s="379">
        <v>1</v>
      </c>
      <c r="F109" s="631"/>
      <c r="G109" s="632"/>
      <c r="H109" s="631"/>
      <c r="I109" s="424"/>
      <c r="J109" s="631"/>
      <c r="K109" s="631"/>
      <c r="L109" s="632"/>
      <c r="M109" s="633"/>
      <c r="N109" s="633"/>
      <c r="O109" s="633"/>
      <c r="P109" s="631"/>
      <c r="Q109" s="178"/>
    </row>
    <row r="110" spans="1:17" s="68" customFormat="1" ht="24">
      <c r="A110" s="378">
        <f t="shared" si="5"/>
        <v>94</v>
      </c>
      <c r="B110" s="378" t="s">
        <v>149</v>
      </c>
      <c r="C110" s="554" t="s">
        <v>1362</v>
      </c>
      <c r="D110" s="555" t="s">
        <v>90</v>
      </c>
      <c r="E110" s="379">
        <v>1</v>
      </c>
      <c r="F110" s="631"/>
      <c r="G110" s="632"/>
      <c r="H110" s="631"/>
      <c r="I110" s="631"/>
      <c r="J110" s="631"/>
      <c r="K110" s="631"/>
      <c r="L110" s="632"/>
      <c r="M110" s="633"/>
      <c r="N110" s="633"/>
      <c r="O110" s="633"/>
      <c r="P110" s="631"/>
      <c r="Q110" s="178"/>
    </row>
    <row r="111" spans="1:17" s="68" customFormat="1" ht="24">
      <c r="A111" s="378">
        <f t="shared" si="5"/>
        <v>95</v>
      </c>
      <c r="B111" s="378" t="s">
        <v>149</v>
      </c>
      <c r="C111" s="554" t="s">
        <v>1363</v>
      </c>
      <c r="D111" s="555" t="s">
        <v>100</v>
      </c>
      <c r="E111" s="354">
        <v>1</v>
      </c>
      <c r="F111" s="631"/>
      <c r="G111" s="632"/>
      <c r="H111" s="631"/>
      <c r="I111" s="631"/>
      <c r="J111" s="631"/>
      <c r="K111" s="631"/>
      <c r="L111" s="632"/>
      <c r="M111" s="633"/>
      <c r="N111" s="633"/>
      <c r="O111" s="633"/>
      <c r="P111" s="631"/>
      <c r="Q111" s="178"/>
    </row>
    <row r="112" spans="1:17" s="68" customFormat="1">
      <c r="A112" s="378">
        <f t="shared" si="5"/>
        <v>96</v>
      </c>
      <c r="B112" s="378" t="s">
        <v>149</v>
      </c>
      <c r="C112" s="554" t="s">
        <v>1344</v>
      </c>
      <c r="D112" s="555" t="s">
        <v>93</v>
      </c>
      <c r="E112" s="379">
        <v>1</v>
      </c>
      <c r="F112" s="631"/>
      <c r="G112" s="632"/>
      <c r="H112" s="631"/>
      <c r="I112" s="631"/>
      <c r="J112" s="631"/>
      <c r="K112" s="631"/>
      <c r="L112" s="632"/>
      <c r="M112" s="633"/>
      <c r="N112" s="633"/>
      <c r="O112" s="633"/>
      <c r="P112" s="631"/>
      <c r="Q112" s="178"/>
    </row>
    <row r="113" spans="1:17" s="68" customFormat="1" ht="24">
      <c r="A113" s="378">
        <f t="shared" si="5"/>
        <v>97</v>
      </c>
      <c r="B113" s="378" t="s">
        <v>149</v>
      </c>
      <c r="C113" s="554" t="s">
        <v>1364</v>
      </c>
      <c r="D113" s="555" t="s">
        <v>93</v>
      </c>
      <c r="E113" s="379">
        <v>1</v>
      </c>
      <c r="F113" s="631"/>
      <c r="G113" s="632"/>
      <c r="H113" s="631"/>
      <c r="I113" s="631"/>
      <c r="J113" s="631"/>
      <c r="K113" s="631"/>
      <c r="L113" s="632"/>
      <c r="M113" s="633"/>
      <c r="N113" s="633"/>
      <c r="O113" s="633"/>
      <c r="P113" s="631"/>
      <c r="Q113" s="178"/>
    </row>
    <row r="114" spans="1:17" s="68" customFormat="1">
      <c r="A114" s="378">
        <f t="shared" si="5"/>
        <v>98</v>
      </c>
      <c r="B114" s="378" t="s">
        <v>149</v>
      </c>
      <c r="C114" s="554" t="s">
        <v>1365</v>
      </c>
      <c r="D114" s="555" t="s">
        <v>93</v>
      </c>
      <c r="E114" s="379">
        <v>1</v>
      </c>
      <c r="F114" s="631"/>
      <c r="G114" s="632"/>
      <c r="H114" s="631"/>
      <c r="I114" s="631"/>
      <c r="J114" s="631"/>
      <c r="K114" s="631"/>
      <c r="L114" s="632"/>
      <c r="M114" s="633"/>
      <c r="N114" s="633"/>
      <c r="O114" s="633"/>
      <c r="P114" s="631"/>
      <c r="Q114" s="178"/>
    </row>
    <row r="115" spans="1:17" s="68" customFormat="1">
      <c r="A115" s="378">
        <f t="shared" si="5"/>
        <v>99</v>
      </c>
      <c r="B115" s="378" t="s">
        <v>149</v>
      </c>
      <c r="C115" s="561" t="s">
        <v>1317</v>
      </c>
      <c r="D115" s="434" t="s">
        <v>93</v>
      </c>
      <c r="E115" s="379">
        <v>4</v>
      </c>
      <c r="F115" s="631"/>
      <c r="G115" s="632"/>
      <c r="H115" s="631"/>
      <c r="I115" s="631"/>
      <c r="J115" s="631"/>
      <c r="K115" s="631"/>
      <c r="L115" s="632"/>
      <c r="M115" s="633"/>
      <c r="N115" s="633"/>
      <c r="O115" s="633"/>
      <c r="P115" s="631"/>
      <c r="Q115" s="178"/>
    </row>
    <row r="116" spans="1:17" s="68" customFormat="1">
      <c r="A116" s="378">
        <f t="shared" si="5"/>
        <v>100</v>
      </c>
      <c r="B116" s="378" t="s">
        <v>149</v>
      </c>
      <c r="C116" s="561" t="s">
        <v>1319</v>
      </c>
      <c r="D116" s="434" t="s">
        <v>93</v>
      </c>
      <c r="E116" s="379">
        <v>3</v>
      </c>
      <c r="F116" s="631"/>
      <c r="G116" s="632"/>
      <c r="H116" s="631"/>
      <c r="I116" s="631"/>
      <c r="J116" s="631"/>
      <c r="K116" s="631"/>
      <c r="L116" s="632"/>
      <c r="M116" s="633"/>
      <c r="N116" s="633"/>
      <c r="O116" s="633"/>
      <c r="P116" s="631"/>
      <c r="Q116" s="178"/>
    </row>
    <row r="117" spans="1:17" s="68" customFormat="1">
      <c r="A117" s="378">
        <f t="shared" si="5"/>
        <v>101</v>
      </c>
      <c r="B117" s="378" t="s">
        <v>149</v>
      </c>
      <c r="C117" s="554" t="s">
        <v>1322</v>
      </c>
      <c r="D117" s="434" t="s">
        <v>93</v>
      </c>
      <c r="E117" s="379">
        <v>4</v>
      </c>
      <c r="F117" s="631"/>
      <c r="G117" s="632"/>
      <c r="H117" s="631"/>
      <c r="I117" s="631"/>
      <c r="J117" s="631"/>
      <c r="K117" s="631"/>
      <c r="L117" s="632"/>
      <c r="M117" s="633"/>
      <c r="N117" s="633"/>
      <c r="O117" s="633"/>
      <c r="P117" s="631"/>
      <c r="Q117" s="178"/>
    </row>
    <row r="118" spans="1:17" s="68" customFormat="1">
      <c r="A118" s="378">
        <f t="shared" si="5"/>
        <v>102</v>
      </c>
      <c r="B118" s="378" t="s">
        <v>149</v>
      </c>
      <c r="C118" s="554" t="s">
        <v>1323</v>
      </c>
      <c r="D118" s="434" t="s">
        <v>93</v>
      </c>
      <c r="E118" s="379">
        <v>3</v>
      </c>
      <c r="F118" s="631"/>
      <c r="G118" s="632"/>
      <c r="H118" s="631"/>
      <c r="I118" s="631"/>
      <c r="J118" s="631"/>
      <c r="K118" s="631"/>
      <c r="L118" s="632"/>
      <c r="M118" s="633"/>
      <c r="N118" s="633"/>
      <c r="O118" s="633"/>
      <c r="P118" s="631"/>
      <c r="Q118" s="178"/>
    </row>
    <row r="119" spans="1:17" s="68" customFormat="1">
      <c r="A119" s="378">
        <f t="shared" si="5"/>
        <v>103</v>
      </c>
      <c r="B119" s="378" t="s">
        <v>149</v>
      </c>
      <c r="C119" s="554" t="s">
        <v>1784</v>
      </c>
      <c r="D119" s="434" t="s">
        <v>93</v>
      </c>
      <c r="E119" s="379">
        <v>4</v>
      </c>
      <c r="F119" s="631"/>
      <c r="G119" s="632"/>
      <c r="H119" s="631"/>
      <c r="I119" s="631"/>
      <c r="J119" s="631"/>
      <c r="K119" s="631"/>
      <c r="L119" s="632"/>
      <c r="M119" s="633"/>
      <c r="N119" s="633"/>
      <c r="O119" s="633"/>
      <c r="P119" s="631"/>
      <c r="Q119" s="178"/>
    </row>
    <row r="120" spans="1:17" s="68" customFormat="1">
      <c r="A120" s="378">
        <f t="shared" si="5"/>
        <v>104</v>
      </c>
      <c r="B120" s="378" t="s">
        <v>149</v>
      </c>
      <c r="C120" s="561" t="s">
        <v>1324</v>
      </c>
      <c r="D120" s="635" t="s">
        <v>93</v>
      </c>
      <c r="E120" s="582">
        <v>2</v>
      </c>
      <c r="F120" s="631"/>
      <c r="G120" s="632"/>
      <c r="H120" s="631"/>
      <c r="I120" s="631"/>
      <c r="J120" s="631"/>
      <c r="K120" s="631"/>
      <c r="L120" s="632"/>
      <c r="M120" s="633"/>
      <c r="N120" s="633"/>
      <c r="O120" s="633"/>
      <c r="P120" s="631"/>
      <c r="Q120" s="178"/>
    </row>
    <row r="121" spans="1:17" s="68" customFormat="1">
      <c r="A121" s="378">
        <f t="shared" si="5"/>
        <v>105</v>
      </c>
      <c r="B121" s="378" t="s">
        <v>149</v>
      </c>
      <c r="C121" s="561" t="s">
        <v>1325</v>
      </c>
      <c r="D121" s="635" t="s">
        <v>90</v>
      </c>
      <c r="E121" s="582">
        <v>1</v>
      </c>
      <c r="F121" s="631"/>
      <c r="G121" s="632"/>
      <c r="H121" s="631"/>
      <c r="I121" s="631"/>
      <c r="J121" s="631"/>
      <c r="K121" s="631"/>
      <c r="L121" s="632"/>
      <c r="M121" s="633"/>
      <c r="N121" s="633"/>
      <c r="O121" s="633"/>
      <c r="P121" s="631"/>
      <c r="Q121" s="178"/>
    </row>
    <row r="122" spans="1:17" s="68" customFormat="1">
      <c r="A122" s="378">
        <f t="shared" si="5"/>
        <v>106</v>
      </c>
      <c r="B122" s="378" t="s">
        <v>149</v>
      </c>
      <c r="C122" s="636" t="s">
        <v>1329</v>
      </c>
      <c r="D122" s="555" t="s">
        <v>77</v>
      </c>
      <c r="E122" s="354">
        <v>5</v>
      </c>
      <c r="F122" s="631"/>
      <c r="G122" s="632"/>
      <c r="H122" s="631"/>
      <c r="I122" s="631"/>
      <c r="J122" s="631"/>
      <c r="K122" s="631"/>
      <c r="L122" s="632"/>
      <c r="M122" s="633"/>
      <c r="N122" s="633"/>
      <c r="O122" s="633"/>
      <c r="P122" s="631"/>
      <c r="Q122" s="178"/>
    </row>
    <row r="123" spans="1:17" s="68" customFormat="1">
      <c r="A123" s="378">
        <f t="shared" si="5"/>
        <v>107</v>
      </c>
      <c r="B123" s="378" t="s">
        <v>149</v>
      </c>
      <c r="C123" s="636" t="s">
        <v>1366</v>
      </c>
      <c r="D123" s="378" t="s">
        <v>77</v>
      </c>
      <c r="E123" s="354">
        <v>20</v>
      </c>
      <c r="F123" s="631"/>
      <c r="G123" s="632"/>
      <c r="H123" s="631"/>
      <c r="I123" s="631"/>
      <c r="J123" s="631"/>
      <c r="K123" s="631"/>
      <c r="L123" s="632"/>
      <c r="M123" s="633"/>
      <c r="N123" s="633"/>
      <c r="O123" s="633"/>
      <c r="P123" s="631"/>
      <c r="Q123" s="178"/>
    </row>
    <row r="124" spans="1:17" s="68" customFormat="1">
      <c r="A124" s="378">
        <f t="shared" si="5"/>
        <v>108</v>
      </c>
      <c r="B124" s="378" t="s">
        <v>149</v>
      </c>
      <c r="C124" s="561" t="s">
        <v>1331</v>
      </c>
      <c r="D124" s="378" t="s">
        <v>1781</v>
      </c>
      <c r="E124" s="354">
        <v>5</v>
      </c>
      <c r="F124" s="631"/>
      <c r="G124" s="632"/>
      <c r="H124" s="631"/>
      <c r="I124" s="631"/>
      <c r="J124" s="631"/>
      <c r="K124" s="631"/>
      <c r="L124" s="632"/>
      <c r="M124" s="633"/>
      <c r="N124" s="633"/>
      <c r="O124" s="633"/>
      <c r="P124" s="631"/>
      <c r="Q124" s="178"/>
    </row>
    <row r="125" spans="1:17" s="68" customFormat="1">
      <c r="A125" s="378">
        <f t="shared" si="5"/>
        <v>109</v>
      </c>
      <c r="B125" s="378" t="s">
        <v>149</v>
      </c>
      <c r="C125" s="561" t="s">
        <v>1332</v>
      </c>
      <c r="D125" s="378" t="s">
        <v>77</v>
      </c>
      <c r="E125" s="354">
        <v>5</v>
      </c>
      <c r="F125" s="631"/>
      <c r="G125" s="632"/>
      <c r="H125" s="631"/>
      <c r="I125" s="631"/>
      <c r="J125" s="631"/>
      <c r="K125" s="631"/>
      <c r="L125" s="632"/>
      <c r="M125" s="633"/>
      <c r="N125" s="633"/>
      <c r="O125" s="633"/>
      <c r="P125" s="631"/>
      <c r="Q125" s="178"/>
    </row>
    <row r="126" spans="1:17" s="68" customFormat="1">
      <c r="A126" s="378">
        <f t="shared" si="5"/>
        <v>110</v>
      </c>
      <c r="B126" s="378" t="s">
        <v>149</v>
      </c>
      <c r="C126" s="561" t="s">
        <v>1367</v>
      </c>
      <c r="D126" s="378" t="s">
        <v>77</v>
      </c>
      <c r="E126" s="354">
        <v>20</v>
      </c>
      <c r="F126" s="631"/>
      <c r="G126" s="632"/>
      <c r="H126" s="631"/>
      <c r="I126" s="631"/>
      <c r="J126" s="631"/>
      <c r="K126" s="631"/>
      <c r="L126" s="632"/>
      <c r="M126" s="633"/>
      <c r="N126" s="633"/>
      <c r="O126" s="633"/>
      <c r="P126" s="631"/>
      <c r="Q126" s="178"/>
    </row>
    <row r="127" spans="1:17" s="68" customFormat="1">
      <c r="A127" s="378">
        <f t="shared" si="5"/>
        <v>111</v>
      </c>
      <c r="B127" s="378" t="s">
        <v>149</v>
      </c>
      <c r="C127" s="542" t="s">
        <v>88</v>
      </c>
      <c r="D127" s="566" t="s">
        <v>100</v>
      </c>
      <c r="E127" s="582">
        <v>1</v>
      </c>
      <c r="F127" s="631"/>
      <c r="G127" s="632"/>
      <c r="H127" s="631"/>
      <c r="I127" s="631"/>
      <c r="J127" s="631"/>
      <c r="K127" s="631"/>
      <c r="L127" s="632"/>
      <c r="M127" s="633"/>
      <c r="N127" s="633"/>
      <c r="O127" s="633"/>
      <c r="P127" s="631"/>
      <c r="Q127" s="178"/>
    </row>
    <row r="128" spans="1:17" s="68" customFormat="1">
      <c r="A128" s="378">
        <f t="shared" si="5"/>
        <v>112</v>
      </c>
      <c r="B128" s="378" t="s">
        <v>149</v>
      </c>
      <c r="C128" s="377" t="s">
        <v>1336</v>
      </c>
      <c r="D128" s="566" t="s">
        <v>100</v>
      </c>
      <c r="E128" s="582">
        <v>1</v>
      </c>
      <c r="F128" s="631"/>
      <c r="G128" s="632"/>
      <c r="H128" s="631"/>
      <c r="I128" s="631"/>
      <c r="J128" s="631"/>
      <c r="K128" s="631"/>
      <c r="L128" s="632"/>
      <c r="M128" s="633"/>
      <c r="N128" s="633"/>
      <c r="O128" s="633"/>
      <c r="P128" s="631"/>
      <c r="Q128" s="178"/>
    </row>
    <row r="129" spans="1:17" s="68" customFormat="1">
      <c r="A129" s="378">
        <f t="shared" si="5"/>
        <v>113</v>
      </c>
      <c r="B129" s="378" t="s">
        <v>149</v>
      </c>
      <c r="C129" s="377" t="s">
        <v>981</v>
      </c>
      <c r="D129" s="566" t="s">
        <v>100</v>
      </c>
      <c r="E129" s="582">
        <v>1</v>
      </c>
      <c r="F129" s="631"/>
      <c r="G129" s="632"/>
      <c r="H129" s="631"/>
      <c r="I129" s="631"/>
      <c r="J129" s="631"/>
      <c r="K129" s="631"/>
      <c r="L129" s="632"/>
      <c r="M129" s="633"/>
      <c r="N129" s="633"/>
      <c r="O129" s="633"/>
      <c r="P129" s="631"/>
      <c r="Q129" s="178"/>
    </row>
    <row r="130" spans="1:17" s="68" customFormat="1" ht="24.75">
      <c r="A130" s="382">
        <f t="shared" si="5"/>
        <v>114</v>
      </c>
      <c r="B130" s="382" t="s">
        <v>149</v>
      </c>
      <c r="C130" s="637" t="s">
        <v>1337</v>
      </c>
      <c r="D130" s="578" t="s">
        <v>100</v>
      </c>
      <c r="E130" s="441">
        <v>1</v>
      </c>
      <c r="F130" s="578"/>
      <c r="G130" s="634"/>
      <c r="H130" s="638"/>
      <c r="I130" s="634"/>
      <c r="J130" s="425"/>
      <c r="K130" s="634"/>
      <c r="L130" s="638"/>
      <c r="M130" s="639"/>
      <c r="N130" s="639"/>
      <c r="O130" s="639"/>
      <c r="P130" s="634"/>
      <c r="Q130" s="178"/>
    </row>
    <row r="131" spans="1:17" s="68" customFormat="1" ht="24">
      <c r="A131" s="623"/>
      <c r="B131" s="624"/>
      <c r="C131" s="623" t="s">
        <v>1368</v>
      </c>
      <c r="D131" s="624"/>
      <c r="E131" s="648"/>
      <c r="F131" s="624"/>
      <c r="G131" s="624"/>
      <c r="H131" s="624"/>
      <c r="I131" s="624"/>
      <c r="J131" s="624"/>
      <c r="K131" s="625"/>
      <c r="L131" s="626"/>
      <c r="M131" s="627"/>
      <c r="N131" s="627"/>
      <c r="O131" s="627"/>
      <c r="P131" s="625"/>
      <c r="Q131" s="178"/>
    </row>
    <row r="132" spans="1:17" s="68" customFormat="1">
      <c r="A132" s="387">
        <f>1+A130</f>
        <v>115</v>
      </c>
      <c r="B132" s="387" t="s">
        <v>149</v>
      </c>
      <c r="C132" s="551" t="s">
        <v>1303</v>
      </c>
      <c r="D132" s="552" t="s">
        <v>90</v>
      </c>
      <c r="E132" s="433">
        <v>1</v>
      </c>
      <c r="F132" s="628"/>
      <c r="G132" s="629"/>
      <c r="H132" s="628"/>
      <c r="I132" s="628"/>
      <c r="J132" s="628"/>
      <c r="K132" s="628"/>
      <c r="L132" s="629"/>
      <c r="M132" s="630"/>
      <c r="N132" s="630"/>
      <c r="O132" s="630"/>
      <c r="P132" s="628"/>
      <c r="Q132" s="178"/>
    </row>
    <row r="133" spans="1:17" s="68" customFormat="1" ht="24">
      <c r="A133" s="378">
        <f t="shared" si="5"/>
        <v>116</v>
      </c>
      <c r="B133" s="378" t="s">
        <v>149</v>
      </c>
      <c r="C133" s="554" t="s">
        <v>1339</v>
      </c>
      <c r="D133" s="555" t="s">
        <v>90</v>
      </c>
      <c r="E133" s="379">
        <v>1</v>
      </c>
      <c r="F133" s="631"/>
      <c r="G133" s="632"/>
      <c r="H133" s="631"/>
      <c r="I133" s="631"/>
      <c r="J133" s="631"/>
      <c r="K133" s="631"/>
      <c r="L133" s="632"/>
      <c r="M133" s="633"/>
      <c r="N133" s="633"/>
      <c r="O133" s="633"/>
      <c r="P133" s="631"/>
      <c r="Q133" s="178"/>
    </row>
    <row r="134" spans="1:17" s="68" customFormat="1" ht="36">
      <c r="A134" s="378">
        <f t="shared" si="5"/>
        <v>117</v>
      </c>
      <c r="B134" s="378" t="s">
        <v>149</v>
      </c>
      <c r="C134" s="554" t="s">
        <v>1369</v>
      </c>
      <c r="D134" s="555" t="s">
        <v>90</v>
      </c>
      <c r="E134" s="379">
        <v>1</v>
      </c>
      <c r="F134" s="631"/>
      <c r="G134" s="632"/>
      <c r="H134" s="424"/>
      <c r="I134" s="631"/>
      <c r="J134" s="631"/>
      <c r="K134" s="631"/>
      <c r="L134" s="632"/>
      <c r="M134" s="633"/>
      <c r="N134" s="633"/>
      <c r="O134" s="633"/>
      <c r="P134" s="631"/>
      <c r="Q134" s="178"/>
    </row>
    <row r="135" spans="1:17" s="68" customFormat="1" ht="36">
      <c r="A135" s="378">
        <f t="shared" si="5"/>
        <v>118</v>
      </c>
      <c r="B135" s="378" t="s">
        <v>149</v>
      </c>
      <c r="C135" s="542" t="s">
        <v>1370</v>
      </c>
      <c r="D135" s="555" t="s">
        <v>90</v>
      </c>
      <c r="E135" s="379">
        <v>1</v>
      </c>
      <c r="F135" s="631"/>
      <c r="G135" s="632"/>
      <c r="H135" s="424"/>
      <c r="I135" s="631"/>
      <c r="J135" s="631"/>
      <c r="K135" s="631"/>
      <c r="L135" s="632"/>
      <c r="M135" s="633"/>
      <c r="N135" s="633"/>
      <c r="O135" s="633"/>
      <c r="P135" s="631"/>
      <c r="Q135" s="178"/>
    </row>
    <row r="136" spans="1:17" s="68" customFormat="1" ht="24">
      <c r="A136" s="378">
        <f t="shared" si="5"/>
        <v>119</v>
      </c>
      <c r="B136" s="378" t="s">
        <v>149</v>
      </c>
      <c r="C136" s="554" t="s">
        <v>1362</v>
      </c>
      <c r="D136" s="555" t="s">
        <v>90</v>
      </c>
      <c r="E136" s="379">
        <v>1</v>
      </c>
      <c r="F136" s="631"/>
      <c r="G136" s="632"/>
      <c r="H136" s="631"/>
      <c r="I136" s="631"/>
      <c r="J136" s="631"/>
      <c r="K136" s="631"/>
      <c r="L136" s="632"/>
      <c r="M136" s="633"/>
      <c r="N136" s="633"/>
      <c r="O136" s="633"/>
      <c r="P136" s="631"/>
      <c r="Q136" s="178"/>
    </row>
    <row r="137" spans="1:17" s="68" customFormat="1" ht="24">
      <c r="A137" s="378">
        <f t="shared" si="5"/>
        <v>120</v>
      </c>
      <c r="B137" s="378" t="s">
        <v>149</v>
      </c>
      <c r="C137" s="554" t="s">
        <v>1371</v>
      </c>
      <c r="D137" s="555" t="s">
        <v>100</v>
      </c>
      <c r="E137" s="354">
        <v>1</v>
      </c>
      <c r="F137" s="631"/>
      <c r="G137" s="632"/>
      <c r="H137" s="631"/>
      <c r="I137" s="631"/>
      <c r="J137" s="631"/>
      <c r="K137" s="631"/>
      <c r="L137" s="632"/>
      <c r="M137" s="633"/>
      <c r="N137" s="633"/>
      <c r="O137" s="633"/>
      <c r="P137" s="631"/>
      <c r="Q137" s="178"/>
    </row>
    <row r="138" spans="1:17" s="68" customFormat="1">
      <c r="A138" s="378">
        <f t="shared" si="5"/>
        <v>121</v>
      </c>
      <c r="B138" s="378" t="s">
        <v>149</v>
      </c>
      <c r="C138" s="554" t="s">
        <v>1344</v>
      </c>
      <c r="D138" s="555" t="s">
        <v>93</v>
      </c>
      <c r="E138" s="379">
        <v>1</v>
      </c>
      <c r="F138" s="631"/>
      <c r="G138" s="632"/>
      <c r="H138" s="631"/>
      <c r="I138" s="631"/>
      <c r="J138" s="631"/>
      <c r="K138" s="631"/>
      <c r="L138" s="632"/>
      <c r="M138" s="633"/>
      <c r="N138" s="633"/>
      <c r="O138" s="633"/>
      <c r="P138" s="631"/>
      <c r="Q138" s="178"/>
    </row>
    <row r="139" spans="1:17" s="68" customFormat="1" ht="24">
      <c r="A139" s="378">
        <f t="shared" si="5"/>
        <v>122</v>
      </c>
      <c r="B139" s="378" t="s">
        <v>149</v>
      </c>
      <c r="C139" s="554" t="s">
        <v>1364</v>
      </c>
      <c r="D139" s="555" t="s">
        <v>93</v>
      </c>
      <c r="E139" s="379">
        <v>1</v>
      </c>
      <c r="F139" s="631"/>
      <c r="G139" s="632"/>
      <c r="H139" s="631"/>
      <c r="I139" s="631"/>
      <c r="J139" s="631"/>
      <c r="K139" s="631"/>
      <c r="L139" s="632"/>
      <c r="M139" s="633"/>
      <c r="N139" s="633"/>
      <c r="O139" s="633"/>
      <c r="P139" s="631"/>
      <c r="Q139" s="178"/>
    </row>
    <row r="140" spans="1:17" s="68" customFormat="1">
      <c r="A140" s="378">
        <f t="shared" si="5"/>
        <v>123</v>
      </c>
      <c r="B140" s="378" t="s">
        <v>149</v>
      </c>
      <c r="C140" s="554" t="s">
        <v>1365</v>
      </c>
      <c r="D140" s="555" t="s">
        <v>93</v>
      </c>
      <c r="E140" s="379">
        <v>1</v>
      </c>
      <c r="F140" s="631"/>
      <c r="G140" s="632"/>
      <c r="H140" s="631"/>
      <c r="I140" s="631"/>
      <c r="J140" s="631"/>
      <c r="K140" s="631"/>
      <c r="L140" s="632"/>
      <c r="M140" s="633"/>
      <c r="N140" s="633"/>
      <c r="O140" s="633"/>
      <c r="P140" s="631"/>
      <c r="Q140" s="178"/>
    </row>
    <row r="141" spans="1:17" s="68" customFormat="1">
      <c r="A141" s="378">
        <f t="shared" si="5"/>
        <v>124</v>
      </c>
      <c r="B141" s="378" t="s">
        <v>149</v>
      </c>
      <c r="C141" s="561" t="s">
        <v>1317</v>
      </c>
      <c r="D141" s="434" t="s">
        <v>93</v>
      </c>
      <c r="E141" s="379">
        <v>4</v>
      </c>
      <c r="F141" s="631"/>
      <c r="G141" s="632"/>
      <c r="H141" s="631"/>
      <c r="I141" s="631"/>
      <c r="J141" s="631"/>
      <c r="K141" s="631"/>
      <c r="L141" s="632"/>
      <c r="M141" s="633"/>
      <c r="N141" s="633"/>
      <c r="O141" s="633"/>
      <c r="P141" s="631"/>
      <c r="Q141" s="178"/>
    </row>
    <row r="142" spans="1:17" s="68" customFormat="1">
      <c r="A142" s="378">
        <f t="shared" si="5"/>
        <v>125</v>
      </c>
      <c r="B142" s="378" t="s">
        <v>149</v>
      </c>
      <c r="C142" s="561" t="s">
        <v>1319</v>
      </c>
      <c r="D142" s="434" t="s">
        <v>93</v>
      </c>
      <c r="E142" s="379">
        <v>3</v>
      </c>
      <c r="F142" s="631"/>
      <c r="G142" s="632"/>
      <c r="H142" s="631"/>
      <c r="I142" s="631"/>
      <c r="J142" s="631"/>
      <c r="K142" s="631"/>
      <c r="L142" s="632"/>
      <c r="M142" s="633"/>
      <c r="N142" s="633"/>
      <c r="O142" s="633"/>
      <c r="P142" s="631"/>
      <c r="Q142" s="178"/>
    </row>
    <row r="143" spans="1:17" s="68" customFormat="1">
      <c r="A143" s="378">
        <f t="shared" si="5"/>
        <v>126</v>
      </c>
      <c r="B143" s="378" t="s">
        <v>149</v>
      </c>
      <c r="C143" s="554" t="s">
        <v>1322</v>
      </c>
      <c r="D143" s="434" t="s">
        <v>93</v>
      </c>
      <c r="E143" s="379">
        <v>4</v>
      </c>
      <c r="F143" s="631"/>
      <c r="G143" s="632"/>
      <c r="H143" s="631"/>
      <c r="I143" s="631"/>
      <c r="J143" s="631"/>
      <c r="K143" s="631"/>
      <c r="L143" s="632"/>
      <c r="M143" s="633"/>
      <c r="N143" s="633"/>
      <c r="O143" s="633"/>
      <c r="P143" s="631"/>
      <c r="Q143" s="178"/>
    </row>
    <row r="144" spans="1:17" s="68" customFormat="1">
      <c r="A144" s="378">
        <f t="shared" si="5"/>
        <v>127</v>
      </c>
      <c r="B144" s="378" t="s">
        <v>149</v>
      </c>
      <c r="C144" s="554" t="s">
        <v>1323</v>
      </c>
      <c r="D144" s="434" t="s">
        <v>93</v>
      </c>
      <c r="E144" s="379">
        <v>3</v>
      </c>
      <c r="F144" s="631"/>
      <c r="G144" s="632"/>
      <c r="H144" s="631"/>
      <c r="I144" s="631"/>
      <c r="J144" s="631"/>
      <c r="K144" s="631"/>
      <c r="L144" s="632"/>
      <c r="M144" s="633"/>
      <c r="N144" s="633"/>
      <c r="O144" s="633"/>
      <c r="P144" s="631"/>
      <c r="Q144" s="178"/>
    </row>
    <row r="145" spans="1:17" s="68" customFormat="1">
      <c r="A145" s="378">
        <f t="shared" si="5"/>
        <v>128</v>
      </c>
      <c r="B145" s="378" t="s">
        <v>149</v>
      </c>
      <c r="C145" s="554" t="s">
        <v>1784</v>
      </c>
      <c r="D145" s="434" t="s">
        <v>93</v>
      </c>
      <c r="E145" s="379">
        <v>4</v>
      </c>
      <c r="F145" s="631"/>
      <c r="G145" s="632"/>
      <c r="H145" s="631"/>
      <c r="I145" s="631"/>
      <c r="J145" s="631"/>
      <c r="K145" s="631"/>
      <c r="L145" s="632"/>
      <c r="M145" s="633"/>
      <c r="N145" s="633"/>
      <c r="O145" s="633"/>
      <c r="P145" s="631"/>
      <c r="Q145" s="178"/>
    </row>
    <row r="146" spans="1:17" s="68" customFormat="1">
      <c r="A146" s="378">
        <f t="shared" si="5"/>
        <v>129</v>
      </c>
      <c r="B146" s="378" t="s">
        <v>149</v>
      </c>
      <c r="C146" s="561" t="s">
        <v>1324</v>
      </c>
      <c r="D146" s="635" t="s">
        <v>93</v>
      </c>
      <c r="E146" s="582">
        <v>2</v>
      </c>
      <c r="F146" s="631"/>
      <c r="G146" s="632"/>
      <c r="H146" s="631"/>
      <c r="I146" s="631"/>
      <c r="J146" s="631"/>
      <c r="K146" s="631"/>
      <c r="L146" s="632"/>
      <c r="M146" s="633"/>
      <c r="N146" s="633"/>
      <c r="O146" s="633"/>
      <c r="P146" s="631"/>
      <c r="Q146" s="178"/>
    </row>
    <row r="147" spans="1:17" s="68" customFormat="1">
      <c r="A147" s="378">
        <f t="shared" si="5"/>
        <v>130</v>
      </c>
      <c r="B147" s="378" t="s">
        <v>149</v>
      </c>
      <c r="C147" s="561" t="s">
        <v>1325</v>
      </c>
      <c r="D147" s="635" t="s">
        <v>90</v>
      </c>
      <c r="E147" s="582">
        <v>1</v>
      </c>
      <c r="F147" s="631"/>
      <c r="G147" s="632"/>
      <c r="H147" s="631"/>
      <c r="I147" s="631"/>
      <c r="J147" s="631"/>
      <c r="K147" s="631"/>
      <c r="L147" s="632"/>
      <c r="M147" s="633"/>
      <c r="N147" s="633"/>
      <c r="O147" s="633"/>
      <c r="P147" s="631"/>
      <c r="Q147" s="178"/>
    </row>
    <row r="148" spans="1:17" s="68" customFormat="1">
      <c r="A148" s="378">
        <f t="shared" si="5"/>
        <v>131</v>
      </c>
      <c r="B148" s="378" t="s">
        <v>149</v>
      </c>
      <c r="C148" s="636" t="s">
        <v>1329</v>
      </c>
      <c r="D148" s="555" t="s">
        <v>77</v>
      </c>
      <c r="E148" s="354">
        <v>5</v>
      </c>
      <c r="F148" s="631"/>
      <c r="G148" s="632"/>
      <c r="H148" s="631"/>
      <c r="I148" s="631"/>
      <c r="J148" s="631"/>
      <c r="K148" s="631"/>
      <c r="L148" s="632"/>
      <c r="M148" s="633"/>
      <c r="N148" s="633"/>
      <c r="O148" s="633"/>
      <c r="P148" s="631"/>
      <c r="Q148" s="178"/>
    </row>
    <row r="149" spans="1:17" s="68" customFormat="1">
      <c r="A149" s="378">
        <f t="shared" si="5"/>
        <v>132</v>
      </c>
      <c r="B149" s="378" t="s">
        <v>149</v>
      </c>
      <c r="C149" s="636" t="s">
        <v>1366</v>
      </c>
      <c r="D149" s="378" t="s">
        <v>77</v>
      </c>
      <c r="E149" s="354">
        <v>20</v>
      </c>
      <c r="F149" s="631"/>
      <c r="G149" s="632"/>
      <c r="H149" s="631"/>
      <c r="I149" s="631"/>
      <c r="J149" s="631"/>
      <c r="K149" s="631"/>
      <c r="L149" s="632"/>
      <c r="M149" s="633"/>
      <c r="N149" s="633"/>
      <c r="O149" s="633"/>
      <c r="P149" s="631"/>
      <c r="Q149" s="178"/>
    </row>
    <row r="150" spans="1:17" s="68" customFormat="1">
      <c r="A150" s="378">
        <f t="shared" si="5"/>
        <v>133</v>
      </c>
      <c r="B150" s="378" t="s">
        <v>149</v>
      </c>
      <c r="C150" s="561" t="s">
        <v>1331</v>
      </c>
      <c r="D150" s="378" t="s">
        <v>1781</v>
      </c>
      <c r="E150" s="354">
        <v>5</v>
      </c>
      <c r="F150" s="631"/>
      <c r="G150" s="632"/>
      <c r="H150" s="631"/>
      <c r="I150" s="631"/>
      <c r="J150" s="631"/>
      <c r="K150" s="631"/>
      <c r="L150" s="632"/>
      <c r="M150" s="633"/>
      <c r="N150" s="633"/>
      <c r="O150" s="633"/>
      <c r="P150" s="631"/>
      <c r="Q150" s="178"/>
    </row>
    <row r="151" spans="1:17" s="68" customFormat="1">
      <c r="A151" s="378">
        <f t="shared" si="5"/>
        <v>134</v>
      </c>
      <c r="B151" s="378" t="s">
        <v>149</v>
      </c>
      <c r="C151" s="561" t="s">
        <v>1332</v>
      </c>
      <c r="D151" s="378" t="s">
        <v>77</v>
      </c>
      <c r="E151" s="354">
        <v>5</v>
      </c>
      <c r="F151" s="631"/>
      <c r="G151" s="632"/>
      <c r="H151" s="631"/>
      <c r="I151" s="631"/>
      <c r="J151" s="631"/>
      <c r="K151" s="631"/>
      <c r="L151" s="632"/>
      <c r="M151" s="633"/>
      <c r="N151" s="633"/>
      <c r="O151" s="633"/>
      <c r="P151" s="631"/>
      <c r="Q151" s="178"/>
    </row>
    <row r="152" spans="1:17" s="68" customFormat="1">
      <c r="A152" s="378">
        <f t="shared" si="5"/>
        <v>135</v>
      </c>
      <c r="B152" s="378" t="s">
        <v>149</v>
      </c>
      <c r="C152" s="561" t="s">
        <v>1367</v>
      </c>
      <c r="D152" s="378" t="s">
        <v>77</v>
      </c>
      <c r="E152" s="354">
        <v>20</v>
      </c>
      <c r="F152" s="631"/>
      <c r="G152" s="632"/>
      <c r="H152" s="631"/>
      <c r="I152" s="631"/>
      <c r="J152" s="631"/>
      <c r="K152" s="631"/>
      <c r="L152" s="632"/>
      <c r="M152" s="633"/>
      <c r="N152" s="633"/>
      <c r="O152" s="633"/>
      <c r="P152" s="631"/>
      <c r="Q152" s="178"/>
    </row>
    <row r="153" spans="1:17" s="68" customFormat="1">
      <c r="A153" s="378">
        <f t="shared" si="5"/>
        <v>136</v>
      </c>
      <c r="B153" s="378" t="s">
        <v>149</v>
      </c>
      <c r="C153" s="542" t="s">
        <v>88</v>
      </c>
      <c r="D153" s="566" t="s">
        <v>100</v>
      </c>
      <c r="E153" s="582">
        <v>1</v>
      </c>
      <c r="F153" s="631"/>
      <c r="G153" s="632"/>
      <c r="H153" s="631"/>
      <c r="I153" s="631"/>
      <c r="J153" s="631"/>
      <c r="K153" s="631"/>
      <c r="L153" s="632"/>
      <c r="M153" s="633"/>
      <c r="N153" s="633"/>
      <c r="O153" s="633"/>
      <c r="P153" s="631"/>
      <c r="Q153" s="178"/>
    </row>
    <row r="154" spans="1:17" s="68" customFormat="1">
      <c r="A154" s="378">
        <f t="shared" si="5"/>
        <v>137</v>
      </c>
      <c r="B154" s="378" t="s">
        <v>149</v>
      </c>
      <c r="C154" s="377" t="s">
        <v>1336</v>
      </c>
      <c r="D154" s="566" t="s">
        <v>100</v>
      </c>
      <c r="E154" s="582">
        <v>1</v>
      </c>
      <c r="F154" s="631"/>
      <c r="G154" s="632"/>
      <c r="H154" s="631"/>
      <c r="I154" s="631"/>
      <c r="J154" s="631"/>
      <c r="K154" s="631"/>
      <c r="L154" s="632"/>
      <c r="M154" s="633"/>
      <c r="N154" s="633"/>
      <c r="O154" s="633"/>
      <c r="P154" s="631"/>
      <c r="Q154" s="178"/>
    </row>
    <row r="155" spans="1:17" s="68" customFormat="1">
      <c r="A155" s="378">
        <f t="shared" si="5"/>
        <v>138</v>
      </c>
      <c r="B155" s="378" t="s">
        <v>149</v>
      </c>
      <c r="C155" s="377" t="s">
        <v>981</v>
      </c>
      <c r="D155" s="566" t="s">
        <v>100</v>
      </c>
      <c r="E155" s="582">
        <v>1</v>
      </c>
      <c r="F155" s="631"/>
      <c r="G155" s="632"/>
      <c r="H155" s="631"/>
      <c r="I155" s="631"/>
      <c r="J155" s="631"/>
      <c r="K155" s="631"/>
      <c r="L155" s="632"/>
      <c r="M155" s="633"/>
      <c r="N155" s="633"/>
      <c r="O155" s="633"/>
      <c r="P155" s="631"/>
      <c r="Q155" s="178"/>
    </row>
    <row r="156" spans="1:17" s="68" customFormat="1" ht="24.75">
      <c r="A156" s="382">
        <f t="shared" si="5"/>
        <v>139</v>
      </c>
      <c r="B156" s="382" t="s">
        <v>149</v>
      </c>
      <c r="C156" s="637" t="s">
        <v>1337</v>
      </c>
      <c r="D156" s="578" t="s">
        <v>100</v>
      </c>
      <c r="E156" s="441">
        <v>1</v>
      </c>
      <c r="F156" s="578"/>
      <c r="G156" s="634"/>
      <c r="H156" s="638"/>
      <c r="I156" s="634"/>
      <c r="J156" s="425"/>
      <c r="K156" s="634"/>
      <c r="L156" s="638"/>
      <c r="M156" s="639"/>
      <c r="N156" s="639"/>
      <c r="O156" s="639"/>
      <c r="P156" s="634"/>
      <c r="Q156" s="178"/>
    </row>
    <row r="157" spans="1:17" s="68" customFormat="1">
      <c r="A157" s="623"/>
      <c r="B157" s="624"/>
      <c r="C157" s="623" t="s">
        <v>1372</v>
      </c>
      <c r="D157" s="624"/>
      <c r="E157" s="648"/>
      <c r="F157" s="624"/>
      <c r="G157" s="624"/>
      <c r="H157" s="624"/>
      <c r="I157" s="624"/>
      <c r="J157" s="624"/>
      <c r="K157" s="625"/>
      <c r="L157" s="626"/>
      <c r="M157" s="627"/>
      <c r="N157" s="627"/>
      <c r="O157" s="627"/>
      <c r="P157" s="625"/>
      <c r="Q157" s="178"/>
    </row>
    <row r="158" spans="1:17" s="68" customFormat="1" ht="51.75">
      <c r="A158" s="387">
        <f>1+A156</f>
        <v>140</v>
      </c>
      <c r="B158" s="387" t="s">
        <v>149</v>
      </c>
      <c r="C158" s="551" t="s">
        <v>1785</v>
      </c>
      <c r="D158" s="552" t="s">
        <v>90</v>
      </c>
      <c r="E158" s="433">
        <v>1</v>
      </c>
      <c r="F158" s="628"/>
      <c r="G158" s="629"/>
      <c r="H158" s="628"/>
      <c r="I158" s="628"/>
      <c r="J158" s="628"/>
      <c r="K158" s="628"/>
      <c r="L158" s="629"/>
      <c r="M158" s="630"/>
      <c r="N158" s="630"/>
      <c r="O158" s="630"/>
      <c r="P158" s="628"/>
      <c r="Q158" s="178"/>
    </row>
    <row r="159" spans="1:17" s="68" customFormat="1" ht="24">
      <c r="A159" s="378">
        <f t="shared" ref="A159:A186" si="6">A158+1</f>
        <v>141</v>
      </c>
      <c r="B159" s="378" t="s">
        <v>149</v>
      </c>
      <c r="C159" s="554" t="s">
        <v>1339</v>
      </c>
      <c r="D159" s="555" t="s">
        <v>90</v>
      </c>
      <c r="E159" s="379">
        <v>1</v>
      </c>
      <c r="F159" s="631"/>
      <c r="G159" s="632"/>
      <c r="H159" s="631"/>
      <c r="I159" s="631"/>
      <c r="J159" s="631"/>
      <c r="K159" s="631"/>
      <c r="L159" s="632"/>
      <c r="M159" s="633"/>
      <c r="N159" s="633"/>
      <c r="O159" s="633"/>
      <c r="P159" s="631"/>
      <c r="Q159" s="178"/>
    </row>
    <row r="160" spans="1:17" s="68" customFormat="1" ht="24">
      <c r="A160" s="378">
        <f t="shared" si="6"/>
        <v>142</v>
      </c>
      <c r="B160" s="378" t="s">
        <v>149</v>
      </c>
      <c r="C160" s="554" t="s">
        <v>1373</v>
      </c>
      <c r="D160" s="555" t="s">
        <v>93</v>
      </c>
      <c r="E160" s="379">
        <v>1</v>
      </c>
      <c r="F160" s="631"/>
      <c r="G160" s="632"/>
      <c r="H160" s="631"/>
      <c r="I160" s="631"/>
      <c r="J160" s="631"/>
      <c r="K160" s="631"/>
      <c r="L160" s="632"/>
      <c r="M160" s="633"/>
      <c r="N160" s="633"/>
      <c r="O160" s="633"/>
      <c r="P160" s="631"/>
      <c r="Q160" s="178"/>
    </row>
    <row r="161" spans="1:17" s="68" customFormat="1" ht="24">
      <c r="A161" s="378">
        <f t="shared" si="6"/>
        <v>143</v>
      </c>
      <c r="B161" s="378" t="s">
        <v>149</v>
      </c>
      <c r="C161" s="554" t="s">
        <v>1374</v>
      </c>
      <c r="D161" s="555" t="s">
        <v>93</v>
      </c>
      <c r="E161" s="379">
        <v>1</v>
      </c>
      <c r="F161" s="631"/>
      <c r="G161" s="632"/>
      <c r="H161" s="631"/>
      <c r="I161" s="631"/>
      <c r="J161" s="631"/>
      <c r="K161" s="631"/>
      <c r="L161" s="632"/>
      <c r="M161" s="633"/>
      <c r="N161" s="633"/>
      <c r="O161" s="633"/>
      <c r="P161" s="631"/>
      <c r="Q161" s="178"/>
    </row>
    <row r="162" spans="1:17" s="68" customFormat="1">
      <c r="A162" s="378">
        <f t="shared" si="6"/>
        <v>144</v>
      </c>
      <c r="B162" s="378" t="s">
        <v>149</v>
      </c>
      <c r="C162" s="561" t="s">
        <v>1375</v>
      </c>
      <c r="D162" s="434" t="s">
        <v>93</v>
      </c>
      <c r="E162" s="379">
        <v>1</v>
      </c>
      <c r="F162" s="631"/>
      <c r="G162" s="632"/>
      <c r="H162" s="631"/>
      <c r="I162" s="631"/>
      <c r="J162" s="631"/>
      <c r="K162" s="631"/>
      <c r="L162" s="632"/>
      <c r="M162" s="633"/>
      <c r="N162" s="633"/>
      <c r="O162" s="633"/>
      <c r="P162" s="631"/>
      <c r="Q162" s="178"/>
    </row>
    <row r="163" spans="1:17" s="68" customFormat="1">
      <c r="A163" s="378">
        <f t="shared" si="6"/>
        <v>145</v>
      </c>
      <c r="B163" s="378" t="s">
        <v>149</v>
      </c>
      <c r="C163" s="561" t="s">
        <v>1317</v>
      </c>
      <c r="D163" s="434" t="s">
        <v>93</v>
      </c>
      <c r="E163" s="379">
        <v>4</v>
      </c>
      <c r="F163" s="631"/>
      <c r="G163" s="632"/>
      <c r="H163" s="631"/>
      <c r="I163" s="631"/>
      <c r="J163" s="631"/>
      <c r="K163" s="631"/>
      <c r="L163" s="632"/>
      <c r="M163" s="633"/>
      <c r="N163" s="633"/>
      <c r="O163" s="633"/>
      <c r="P163" s="631"/>
      <c r="Q163" s="178"/>
    </row>
    <row r="164" spans="1:17" s="68" customFormat="1">
      <c r="A164" s="378">
        <f t="shared" si="6"/>
        <v>146</v>
      </c>
      <c r="B164" s="378" t="s">
        <v>149</v>
      </c>
      <c r="C164" s="561" t="s">
        <v>1376</v>
      </c>
      <c r="D164" s="434" t="s">
        <v>93</v>
      </c>
      <c r="E164" s="379">
        <v>2</v>
      </c>
      <c r="F164" s="631"/>
      <c r="G164" s="632"/>
      <c r="H164" s="631"/>
      <c r="I164" s="631"/>
      <c r="J164" s="631"/>
      <c r="K164" s="631"/>
      <c r="L164" s="632"/>
      <c r="M164" s="633"/>
      <c r="N164" s="633"/>
      <c r="O164" s="633"/>
      <c r="P164" s="631"/>
      <c r="Q164" s="178"/>
    </row>
    <row r="165" spans="1:17" s="68" customFormat="1">
      <c r="A165" s="378">
        <f t="shared" si="6"/>
        <v>147</v>
      </c>
      <c r="B165" s="378" t="s">
        <v>149</v>
      </c>
      <c r="C165" s="561" t="s">
        <v>1377</v>
      </c>
      <c r="D165" s="434" t="s">
        <v>93</v>
      </c>
      <c r="E165" s="379">
        <v>2</v>
      </c>
      <c r="F165" s="631"/>
      <c r="G165" s="632"/>
      <c r="H165" s="631"/>
      <c r="I165" s="631"/>
      <c r="J165" s="631"/>
      <c r="K165" s="631"/>
      <c r="L165" s="632"/>
      <c r="M165" s="633"/>
      <c r="N165" s="633"/>
      <c r="O165" s="633"/>
      <c r="P165" s="631"/>
      <c r="Q165" s="178"/>
    </row>
    <row r="166" spans="1:17" s="68" customFormat="1">
      <c r="A166" s="378">
        <f t="shared" si="6"/>
        <v>148</v>
      </c>
      <c r="B166" s="378" t="s">
        <v>149</v>
      </c>
      <c r="C166" s="561" t="s">
        <v>1378</v>
      </c>
      <c r="D166" s="434" t="s">
        <v>93</v>
      </c>
      <c r="E166" s="379">
        <v>3</v>
      </c>
      <c r="F166" s="631"/>
      <c r="G166" s="632"/>
      <c r="H166" s="631"/>
      <c r="I166" s="631"/>
      <c r="J166" s="631"/>
      <c r="K166" s="631"/>
      <c r="L166" s="632"/>
      <c r="M166" s="633"/>
      <c r="N166" s="633"/>
      <c r="O166" s="633"/>
      <c r="P166" s="631"/>
      <c r="Q166" s="178"/>
    </row>
    <row r="167" spans="1:17" s="68" customFormat="1">
      <c r="A167" s="378">
        <f t="shared" si="6"/>
        <v>149</v>
      </c>
      <c r="B167" s="378" t="s">
        <v>149</v>
      </c>
      <c r="C167" s="554" t="s">
        <v>1322</v>
      </c>
      <c r="D167" s="434" t="s">
        <v>93</v>
      </c>
      <c r="E167" s="379">
        <v>4</v>
      </c>
      <c r="F167" s="631"/>
      <c r="G167" s="632"/>
      <c r="H167" s="631"/>
      <c r="I167" s="631"/>
      <c r="J167" s="631"/>
      <c r="K167" s="631"/>
      <c r="L167" s="632"/>
      <c r="M167" s="633"/>
      <c r="N167" s="633"/>
      <c r="O167" s="633"/>
      <c r="P167" s="631"/>
      <c r="Q167" s="178"/>
    </row>
    <row r="168" spans="1:17" s="68" customFormat="1">
      <c r="A168" s="378">
        <f t="shared" si="6"/>
        <v>150</v>
      </c>
      <c r="B168" s="378" t="s">
        <v>149</v>
      </c>
      <c r="C168" s="554" t="s">
        <v>1323</v>
      </c>
      <c r="D168" s="434" t="s">
        <v>93</v>
      </c>
      <c r="E168" s="379">
        <v>3</v>
      </c>
      <c r="F168" s="631"/>
      <c r="G168" s="632"/>
      <c r="H168" s="631"/>
      <c r="I168" s="631"/>
      <c r="J168" s="631"/>
      <c r="K168" s="631"/>
      <c r="L168" s="632"/>
      <c r="M168" s="633"/>
      <c r="N168" s="633"/>
      <c r="O168" s="633"/>
      <c r="P168" s="631"/>
      <c r="Q168" s="178"/>
    </row>
    <row r="169" spans="1:17" s="68" customFormat="1">
      <c r="A169" s="378">
        <f t="shared" si="6"/>
        <v>151</v>
      </c>
      <c r="B169" s="378" t="s">
        <v>149</v>
      </c>
      <c r="C169" s="554" t="s">
        <v>1784</v>
      </c>
      <c r="D169" s="434" t="s">
        <v>93</v>
      </c>
      <c r="E169" s="379">
        <v>4</v>
      </c>
      <c r="F169" s="631"/>
      <c r="G169" s="632"/>
      <c r="H169" s="631"/>
      <c r="I169" s="631"/>
      <c r="J169" s="631"/>
      <c r="K169" s="631"/>
      <c r="L169" s="632"/>
      <c r="M169" s="633"/>
      <c r="N169" s="633"/>
      <c r="O169" s="633"/>
      <c r="P169" s="631"/>
      <c r="Q169" s="178"/>
    </row>
    <row r="170" spans="1:17" s="68" customFormat="1">
      <c r="A170" s="378">
        <f t="shared" si="6"/>
        <v>152</v>
      </c>
      <c r="B170" s="378" t="s">
        <v>149</v>
      </c>
      <c r="C170" s="561" t="s">
        <v>1324</v>
      </c>
      <c r="D170" s="635" t="s">
        <v>93</v>
      </c>
      <c r="E170" s="582">
        <v>2</v>
      </c>
      <c r="F170" s="631"/>
      <c r="G170" s="632"/>
      <c r="H170" s="631"/>
      <c r="I170" s="631"/>
      <c r="J170" s="631"/>
      <c r="K170" s="631"/>
      <c r="L170" s="632"/>
      <c r="M170" s="633"/>
      <c r="N170" s="633"/>
      <c r="O170" s="633"/>
      <c r="P170" s="631"/>
      <c r="Q170" s="178"/>
    </row>
    <row r="171" spans="1:17" s="68" customFormat="1">
      <c r="A171" s="378">
        <f t="shared" si="6"/>
        <v>153</v>
      </c>
      <c r="B171" s="378" t="s">
        <v>149</v>
      </c>
      <c r="C171" s="561" t="s">
        <v>1325</v>
      </c>
      <c r="D171" s="635" t="s">
        <v>90</v>
      </c>
      <c r="E171" s="582">
        <v>2</v>
      </c>
      <c r="F171" s="631"/>
      <c r="G171" s="632"/>
      <c r="H171" s="631"/>
      <c r="I171" s="631"/>
      <c r="J171" s="631"/>
      <c r="K171" s="631"/>
      <c r="L171" s="632"/>
      <c r="M171" s="633"/>
      <c r="N171" s="633"/>
      <c r="O171" s="633"/>
      <c r="P171" s="631"/>
      <c r="Q171" s="178"/>
    </row>
    <row r="172" spans="1:17" s="68" customFormat="1">
      <c r="A172" s="378">
        <f t="shared" si="6"/>
        <v>154</v>
      </c>
      <c r="B172" s="378" t="s">
        <v>149</v>
      </c>
      <c r="C172" s="636" t="s">
        <v>1379</v>
      </c>
      <c r="D172" s="555" t="s">
        <v>77</v>
      </c>
      <c r="E172" s="354">
        <v>1</v>
      </c>
      <c r="F172" s="631"/>
      <c r="G172" s="632"/>
      <c r="H172" s="631"/>
      <c r="I172" s="631"/>
      <c r="J172" s="631"/>
      <c r="K172" s="631"/>
      <c r="L172" s="632"/>
      <c r="M172" s="633"/>
      <c r="N172" s="633"/>
      <c r="O172" s="633"/>
      <c r="P172" s="631"/>
      <c r="Q172" s="178"/>
    </row>
    <row r="173" spans="1:17" s="68" customFormat="1">
      <c r="A173" s="378">
        <f t="shared" si="6"/>
        <v>155</v>
      </c>
      <c r="B173" s="378" t="s">
        <v>149</v>
      </c>
      <c r="C173" s="636" t="s">
        <v>1380</v>
      </c>
      <c r="D173" s="378" t="s">
        <v>77</v>
      </c>
      <c r="E173" s="354">
        <v>30</v>
      </c>
      <c r="F173" s="631"/>
      <c r="G173" s="632"/>
      <c r="H173" s="631"/>
      <c r="I173" s="631"/>
      <c r="J173" s="631"/>
      <c r="K173" s="631"/>
      <c r="L173" s="632"/>
      <c r="M173" s="633"/>
      <c r="N173" s="633"/>
      <c r="O173" s="633"/>
      <c r="P173" s="631"/>
      <c r="Q173" s="178"/>
    </row>
    <row r="174" spans="1:17" s="68" customFormat="1">
      <c r="A174" s="378">
        <f t="shared" si="6"/>
        <v>156</v>
      </c>
      <c r="B174" s="378" t="s">
        <v>149</v>
      </c>
      <c r="C174" s="636" t="s">
        <v>1381</v>
      </c>
      <c r="D174" s="378" t="s">
        <v>77</v>
      </c>
      <c r="E174" s="354">
        <v>25</v>
      </c>
      <c r="F174" s="631"/>
      <c r="G174" s="632"/>
      <c r="H174" s="631"/>
      <c r="I174" s="631"/>
      <c r="J174" s="631"/>
      <c r="K174" s="631"/>
      <c r="L174" s="632"/>
      <c r="M174" s="633"/>
      <c r="N174" s="633"/>
      <c r="O174" s="633"/>
      <c r="P174" s="631"/>
      <c r="Q174" s="178"/>
    </row>
    <row r="175" spans="1:17" s="68" customFormat="1">
      <c r="A175" s="378">
        <f t="shared" si="6"/>
        <v>157</v>
      </c>
      <c r="B175" s="378" t="s">
        <v>149</v>
      </c>
      <c r="C175" s="561" t="s">
        <v>1331</v>
      </c>
      <c r="D175" s="378" t="s">
        <v>1781</v>
      </c>
      <c r="E175" s="354">
        <v>5</v>
      </c>
      <c r="F175" s="631"/>
      <c r="G175" s="632"/>
      <c r="H175" s="631"/>
      <c r="I175" s="631"/>
      <c r="J175" s="631"/>
      <c r="K175" s="631"/>
      <c r="L175" s="632"/>
      <c r="M175" s="633"/>
      <c r="N175" s="633"/>
      <c r="O175" s="633"/>
      <c r="P175" s="631"/>
      <c r="Q175" s="178"/>
    </row>
    <row r="176" spans="1:17" s="68" customFormat="1">
      <c r="A176" s="378">
        <f t="shared" si="6"/>
        <v>158</v>
      </c>
      <c r="B176" s="378" t="s">
        <v>149</v>
      </c>
      <c r="C176" s="561" t="s">
        <v>1333</v>
      </c>
      <c r="D176" s="378" t="s">
        <v>77</v>
      </c>
      <c r="E176" s="354">
        <v>1</v>
      </c>
      <c r="F176" s="631"/>
      <c r="G176" s="632"/>
      <c r="H176" s="631"/>
      <c r="I176" s="631"/>
      <c r="J176" s="631"/>
      <c r="K176" s="631"/>
      <c r="L176" s="632"/>
      <c r="M176" s="633"/>
      <c r="N176" s="633"/>
      <c r="O176" s="633"/>
      <c r="P176" s="631"/>
      <c r="Q176" s="178"/>
    </row>
    <row r="177" spans="1:17" s="68" customFormat="1">
      <c r="A177" s="378">
        <f t="shared" si="6"/>
        <v>159</v>
      </c>
      <c r="B177" s="378" t="s">
        <v>149</v>
      </c>
      <c r="C177" s="561" t="s">
        <v>1382</v>
      </c>
      <c r="D177" s="378" t="s">
        <v>77</v>
      </c>
      <c r="E177" s="354">
        <v>30</v>
      </c>
      <c r="F177" s="631"/>
      <c r="G177" s="632"/>
      <c r="H177" s="631"/>
      <c r="I177" s="631"/>
      <c r="J177" s="631"/>
      <c r="K177" s="631"/>
      <c r="L177" s="632"/>
      <c r="M177" s="633"/>
      <c r="N177" s="633"/>
      <c r="O177" s="633"/>
      <c r="P177" s="631"/>
      <c r="Q177" s="178"/>
    </row>
    <row r="178" spans="1:17" s="68" customFormat="1">
      <c r="A178" s="378">
        <f t="shared" si="6"/>
        <v>160</v>
      </c>
      <c r="B178" s="378" t="s">
        <v>149</v>
      </c>
      <c r="C178" s="561" t="s">
        <v>1383</v>
      </c>
      <c r="D178" s="378" t="s">
        <v>77</v>
      </c>
      <c r="E178" s="354">
        <v>25</v>
      </c>
      <c r="F178" s="631"/>
      <c r="G178" s="632"/>
      <c r="H178" s="631"/>
      <c r="I178" s="631"/>
      <c r="J178" s="631"/>
      <c r="K178" s="631"/>
      <c r="L178" s="632"/>
      <c r="M178" s="633"/>
      <c r="N178" s="633"/>
      <c r="O178" s="633"/>
      <c r="P178" s="631"/>
      <c r="Q178" s="178"/>
    </row>
    <row r="179" spans="1:17" s="68" customFormat="1">
      <c r="A179" s="378">
        <f t="shared" si="6"/>
        <v>161</v>
      </c>
      <c r="B179" s="378" t="s">
        <v>149</v>
      </c>
      <c r="C179" s="542" t="s">
        <v>88</v>
      </c>
      <c r="D179" s="566" t="s">
        <v>100</v>
      </c>
      <c r="E179" s="582">
        <v>1</v>
      </c>
      <c r="F179" s="631"/>
      <c r="G179" s="632"/>
      <c r="H179" s="631"/>
      <c r="I179" s="631"/>
      <c r="J179" s="631"/>
      <c r="K179" s="631"/>
      <c r="L179" s="632"/>
      <c r="M179" s="633"/>
      <c r="N179" s="633"/>
      <c r="O179" s="633"/>
      <c r="P179" s="631"/>
      <c r="Q179" s="178"/>
    </row>
    <row r="180" spans="1:17" s="68" customFormat="1">
      <c r="A180" s="378">
        <f t="shared" si="6"/>
        <v>162</v>
      </c>
      <c r="B180" s="378" t="s">
        <v>149</v>
      </c>
      <c r="C180" s="377" t="s">
        <v>1336</v>
      </c>
      <c r="D180" s="566" t="s">
        <v>100</v>
      </c>
      <c r="E180" s="582">
        <v>1</v>
      </c>
      <c r="F180" s="631"/>
      <c r="G180" s="632"/>
      <c r="H180" s="631"/>
      <c r="I180" s="631"/>
      <c r="J180" s="631"/>
      <c r="K180" s="631"/>
      <c r="L180" s="632"/>
      <c r="M180" s="633"/>
      <c r="N180" s="633"/>
      <c r="O180" s="633"/>
      <c r="P180" s="631"/>
      <c r="Q180" s="178"/>
    </row>
    <row r="181" spans="1:17" s="68" customFormat="1">
      <c r="A181" s="382">
        <f t="shared" si="6"/>
        <v>163</v>
      </c>
      <c r="B181" s="382" t="s">
        <v>149</v>
      </c>
      <c r="C181" s="381" t="s">
        <v>981</v>
      </c>
      <c r="D181" s="640" t="s">
        <v>100</v>
      </c>
      <c r="E181" s="649">
        <v>1</v>
      </c>
      <c r="F181" s="634"/>
      <c r="G181" s="638"/>
      <c r="H181" s="634"/>
      <c r="I181" s="634"/>
      <c r="J181" s="634"/>
      <c r="K181" s="634"/>
      <c r="L181" s="638"/>
      <c r="M181" s="639"/>
      <c r="N181" s="639"/>
      <c r="O181" s="639"/>
      <c r="P181" s="634"/>
      <c r="Q181" s="178"/>
    </row>
    <row r="182" spans="1:17" s="68" customFormat="1">
      <c r="A182" s="623"/>
      <c r="B182" s="624"/>
      <c r="C182" s="623" t="s">
        <v>1384</v>
      </c>
      <c r="D182" s="624"/>
      <c r="E182" s="648"/>
      <c r="F182" s="624"/>
      <c r="G182" s="624"/>
      <c r="H182" s="624"/>
      <c r="I182" s="624"/>
      <c r="J182" s="624"/>
      <c r="K182" s="625"/>
      <c r="L182" s="626"/>
      <c r="M182" s="627"/>
      <c r="N182" s="627"/>
      <c r="O182" s="627"/>
      <c r="P182" s="625"/>
      <c r="Q182" s="178"/>
    </row>
    <row r="183" spans="1:17" s="68" customFormat="1" ht="24.75">
      <c r="A183" s="387">
        <f>A181+1</f>
        <v>164</v>
      </c>
      <c r="B183" s="387" t="s">
        <v>149</v>
      </c>
      <c r="C183" s="641" t="s">
        <v>1385</v>
      </c>
      <c r="D183" s="552" t="s">
        <v>100</v>
      </c>
      <c r="E183" s="433" t="s">
        <v>1386</v>
      </c>
      <c r="F183" s="628"/>
      <c r="G183" s="629"/>
      <c r="H183" s="628"/>
      <c r="I183" s="628"/>
      <c r="J183" s="628"/>
      <c r="K183" s="628"/>
      <c r="L183" s="629"/>
      <c r="M183" s="630"/>
      <c r="N183" s="630"/>
      <c r="O183" s="630"/>
      <c r="P183" s="628"/>
      <c r="Q183" s="178"/>
    </row>
    <row r="184" spans="1:17" s="68" customFormat="1">
      <c r="A184" s="378">
        <f t="shared" si="6"/>
        <v>165</v>
      </c>
      <c r="B184" s="378" t="s">
        <v>149</v>
      </c>
      <c r="C184" s="642" t="s">
        <v>1387</v>
      </c>
      <c r="D184" s="555" t="s">
        <v>100</v>
      </c>
      <c r="E184" s="354" t="s">
        <v>1386</v>
      </c>
      <c r="F184" s="631"/>
      <c r="G184" s="632"/>
      <c r="H184" s="631"/>
      <c r="I184" s="631"/>
      <c r="J184" s="631"/>
      <c r="K184" s="631"/>
      <c r="L184" s="632"/>
      <c r="M184" s="633"/>
      <c r="N184" s="633"/>
      <c r="O184" s="633"/>
      <c r="P184" s="631"/>
      <c r="Q184" s="178"/>
    </row>
    <row r="185" spans="1:17" s="68" customFormat="1" ht="24.75">
      <c r="A185" s="378">
        <f t="shared" si="6"/>
        <v>166</v>
      </c>
      <c r="B185" s="378" t="s">
        <v>149</v>
      </c>
      <c r="C185" s="642" t="s">
        <v>1388</v>
      </c>
      <c r="D185" s="555" t="s">
        <v>100</v>
      </c>
      <c r="E185" s="354" t="s">
        <v>1386</v>
      </c>
      <c r="F185" s="631"/>
      <c r="G185" s="632"/>
      <c r="H185" s="631"/>
      <c r="I185" s="631"/>
      <c r="J185" s="631"/>
      <c r="K185" s="631"/>
      <c r="L185" s="632"/>
      <c r="M185" s="633"/>
      <c r="N185" s="633"/>
      <c r="O185" s="633"/>
      <c r="P185" s="631"/>
      <c r="Q185" s="178"/>
    </row>
    <row r="186" spans="1:17" s="68" customFormat="1">
      <c r="A186" s="495">
        <f t="shared" si="6"/>
        <v>167</v>
      </c>
      <c r="B186" s="495" t="s">
        <v>149</v>
      </c>
      <c r="C186" s="643" t="s">
        <v>1389</v>
      </c>
      <c r="D186" s="644" t="s">
        <v>100</v>
      </c>
      <c r="E186" s="438" t="s">
        <v>1386</v>
      </c>
      <c r="F186" s="645"/>
      <c r="G186" s="646"/>
      <c r="H186" s="645"/>
      <c r="I186" s="645"/>
      <c r="J186" s="645"/>
      <c r="K186" s="645"/>
      <c r="L186" s="646"/>
      <c r="M186" s="647"/>
      <c r="N186" s="647"/>
      <c r="O186" s="647"/>
      <c r="P186" s="645"/>
      <c r="Q186" s="178"/>
    </row>
    <row r="187" spans="1:17">
      <c r="A187" s="890" t="s">
        <v>177</v>
      </c>
      <c r="B187" s="890"/>
      <c r="C187" s="890"/>
      <c r="D187" s="890"/>
      <c r="E187" s="890"/>
      <c r="F187" s="890"/>
      <c r="G187" s="890"/>
      <c r="H187" s="890"/>
      <c r="I187" s="890"/>
      <c r="J187" s="890"/>
      <c r="K187" s="890"/>
      <c r="L187" s="131">
        <f>SUM(L14:L186)</f>
        <v>0</v>
      </c>
      <c r="M187" s="131">
        <f t="shared" ref="M187:P187" si="7">SUM(M14:M186)</f>
        <v>0</v>
      </c>
      <c r="N187" s="131">
        <f t="shared" si="7"/>
        <v>0</v>
      </c>
      <c r="O187" s="131">
        <f t="shared" si="7"/>
        <v>0</v>
      </c>
      <c r="P187" s="131">
        <f t="shared" si="7"/>
        <v>0</v>
      </c>
    </row>
    <row r="188" spans="1:17" s="50" customFormat="1" collapsed="1">
      <c r="A188" s="885" t="s">
        <v>36</v>
      </c>
      <c r="B188" s="885"/>
      <c r="C188" s="1"/>
      <c r="D188" s="1"/>
      <c r="E188" s="98"/>
      <c r="F188" s="1"/>
      <c r="G188" s="1"/>
      <c r="H188" s="1"/>
      <c r="I188" s="1"/>
      <c r="J188" s="1"/>
      <c r="K188" s="1"/>
      <c r="L188" s="1"/>
      <c r="M188" s="1"/>
      <c r="N188" s="1"/>
      <c r="O188" s="1"/>
      <c r="P188" s="1"/>
    </row>
    <row r="189" spans="1:17" s="50" customFormat="1" ht="15" customHeight="1">
      <c r="A189" s="886" t="s">
        <v>56</v>
      </c>
      <c r="B189" s="886"/>
      <c r="C189" s="886"/>
      <c r="D189" s="886"/>
      <c r="E189" s="886"/>
      <c r="F189" s="886"/>
      <c r="G189" s="886"/>
      <c r="H189" s="886"/>
      <c r="I189" s="886"/>
      <c r="J189" s="886"/>
      <c r="K189" s="886"/>
      <c r="L189" s="886"/>
      <c r="M189" s="886"/>
      <c r="N189" s="886"/>
      <c r="O189" s="886"/>
      <c r="P189" s="886"/>
    </row>
    <row r="190" spans="1:17" s="50" customFormat="1" collapsed="1">
      <c r="A190" s="910"/>
      <c r="B190" s="910"/>
      <c r="E190" s="103"/>
      <c r="L190" s="50">
        <f>Koptame!A79</f>
        <v>0</v>
      </c>
    </row>
    <row r="191" spans="1:17">
      <c r="A191" s="906" t="s">
        <v>7</v>
      </c>
      <c r="B191" s="906"/>
      <c r="C191" s="307"/>
      <c r="D191" s="50"/>
      <c r="E191" s="103"/>
      <c r="F191" s="50"/>
      <c r="G191" s="50"/>
      <c r="H191" s="50"/>
      <c r="I191" s="50"/>
      <c r="J191" s="50"/>
      <c r="K191" s="50"/>
      <c r="L191" s="307"/>
      <c r="M191" s="81">
        <f>Koptame!B80</f>
        <v>0</v>
      </c>
      <c r="N191" s="81"/>
      <c r="O191" s="50"/>
      <c r="P191" s="50"/>
    </row>
  </sheetData>
  <mergeCells count="24">
    <mergeCell ref="A1:P1"/>
    <mergeCell ref="A3:B3"/>
    <mergeCell ref="C3:P3"/>
    <mergeCell ref="A4:B4"/>
    <mergeCell ref="C4:P4"/>
    <mergeCell ref="A2:P2"/>
    <mergeCell ref="A191:B191"/>
    <mergeCell ref="A187:K187"/>
    <mergeCell ref="A188:B188"/>
    <mergeCell ref="A190:B190"/>
    <mergeCell ref="A189:P189"/>
    <mergeCell ref="D10:D11"/>
    <mergeCell ref="A10:A11"/>
    <mergeCell ref="B10:B11"/>
    <mergeCell ref="L10:P10"/>
    <mergeCell ref="C5:P5"/>
    <mergeCell ref="A6:B6"/>
    <mergeCell ref="A7:B7"/>
    <mergeCell ref="C7:P7"/>
    <mergeCell ref="F10:K10"/>
    <mergeCell ref="E10:E11"/>
    <mergeCell ref="C6:P6"/>
    <mergeCell ref="A5:B5"/>
    <mergeCell ref="C10:C11"/>
  </mergeCells>
  <conditionalFormatting sqref="C14:C29">
    <cfRule type="expression" priority="20" stopIfTrue="1">
      <formula>#REF!</formula>
    </cfRule>
  </conditionalFormatting>
  <conditionalFormatting sqref="C14:C29">
    <cfRule type="expression" priority="19" stopIfTrue="1">
      <formula>#REF!</formula>
    </cfRule>
  </conditionalFormatting>
  <conditionalFormatting sqref="C30:C44">
    <cfRule type="expression" priority="18" stopIfTrue="1">
      <formula>#REF!</formula>
    </cfRule>
  </conditionalFormatting>
  <conditionalFormatting sqref="C30:C44">
    <cfRule type="expression" priority="17" stopIfTrue="1">
      <formula>#REF!</formula>
    </cfRule>
  </conditionalFormatting>
  <conditionalFormatting sqref="C45:C51 C53:C60">
    <cfRule type="expression" priority="16" stopIfTrue="1">
      <formula>#REF!</formula>
    </cfRule>
  </conditionalFormatting>
  <conditionalFormatting sqref="C45:C51 C53:C60">
    <cfRule type="expression" priority="15" stopIfTrue="1">
      <formula>#REF!</formula>
    </cfRule>
  </conditionalFormatting>
  <conditionalFormatting sqref="C61:C75">
    <cfRule type="expression" priority="14" stopIfTrue="1">
      <formula>#REF!</formula>
    </cfRule>
  </conditionalFormatting>
  <conditionalFormatting sqref="C61:C75">
    <cfRule type="expression" priority="13" stopIfTrue="1">
      <formula>#REF!</formula>
    </cfRule>
  </conditionalFormatting>
  <conditionalFormatting sqref="C76 C79:C92">
    <cfRule type="expression" priority="12" stopIfTrue="1">
      <formula>#REF!</formula>
    </cfRule>
  </conditionalFormatting>
  <conditionalFormatting sqref="C76 C79:C92">
    <cfRule type="expression" priority="11" stopIfTrue="1">
      <formula>#REF!</formula>
    </cfRule>
  </conditionalFormatting>
  <conditionalFormatting sqref="C93:C103 C106:C129 C132:C155 C158:C181 C183:C186">
    <cfRule type="expression" priority="10" stopIfTrue="1">
      <formula>#REF!</formula>
    </cfRule>
  </conditionalFormatting>
  <conditionalFormatting sqref="C93:C103 C106:C129 C132:C155 C158:C181 C183:C186">
    <cfRule type="expression" priority="9" stopIfTrue="1">
      <formula>#REF!</formula>
    </cfRule>
  </conditionalFormatting>
  <conditionalFormatting sqref="C77">
    <cfRule type="expression" priority="8" stopIfTrue="1">
      <formula>#REF!</formula>
    </cfRule>
  </conditionalFormatting>
  <conditionalFormatting sqref="C77">
    <cfRule type="expression" priority="7" stopIfTrue="1">
      <formula>#REF!</formula>
    </cfRule>
  </conditionalFormatting>
  <conditionalFormatting sqref="C104">
    <cfRule type="expression" priority="6" stopIfTrue="1">
      <formula>#REF!</formula>
    </cfRule>
  </conditionalFormatting>
  <conditionalFormatting sqref="C104">
    <cfRule type="expression" priority="5" stopIfTrue="1">
      <formula>#REF!</formula>
    </cfRule>
  </conditionalFormatting>
  <conditionalFormatting sqref="C130">
    <cfRule type="expression" priority="4" stopIfTrue="1">
      <formula>#REF!</formula>
    </cfRule>
  </conditionalFormatting>
  <conditionalFormatting sqref="C130">
    <cfRule type="expression" priority="3" stopIfTrue="1">
      <formula>#REF!</formula>
    </cfRule>
  </conditionalFormatting>
  <conditionalFormatting sqref="C156">
    <cfRule type="expression" priority="2" stopIfTrue="1">
      <formula>#REF!</formula>
    </cfRule>
  </conditionalFormatting>
  <conditionalFormatting sqref="C156">
    <cfRule type="expression" priority="1" stopIfTrue="1">
      <formula>#REF!</formula>
    </cfRule>
  </conditionalFormatting>
  <printOptions horizontalCentered="1"/>
  <pageMargins left="0.27559055118110237" right="0.27559055118110237" top="0.74803149606299213" bottom="0.74803149606299213" header="0.31496062992125984" footer="0.31496062992125984"/>
  <pageSetup paperSize="9" scale="70" orientation="landscape"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Q52"/>
  <sheetViews>
    <sheetView showZeros="0" zoomScale="75" zoomScaleNormal="75" zoomScaleSheetLayoutView="90" workbookViewId="0">
      <selection sqref="A1:Q1"/>
    </sheetView>
  </sheetViews>
  <sheetFormatPr defaultColWidth="9.140625" defaultRowHeight="15"/>
  <cols>
    <col min="1" max="1" width="8.85546875" style="60" customWidth="1"/>
    <col min="2" max="2" width="11.85546875" style="60" customWidth="1"/>
    <col min="3" max="3" width="45.5703125" style="60" customWidth="1"/>
    <col min="4" max="4" width="8" style="60" customWidth="1"/>
    <col min="5" max="5" width="8.7109375" style="60" customWidth="1"/>
    <col min="6" max="6" width="8.7109375" style="102" customWidth="1"/>
    <col min="7" max="9" width="8.7109375" style="60" customWidth="1"/>
    <col min="10" max="10" width="8.7109375" style="68" customWidth="1"/>
    <col min="11" max="12" width="8.7109375" style="60" customWidth="1"/>
    <col min="13" max="17" width="12.7109375" style="60" customWidth="1"/>
    <col min="18" max="16384" width="9.140625" style="60"/>
  </cols>
  <sheetData>
    <row r="1" spans="1:17" s="59" customFormat="1" ht="15.75">
      <c r="A1" s="909" t="s">
        <v>68</v>
      </c>
      <c r="B1" s="909"/>
      <c r="C1" s="909"/>
      <c r="D1" s="909"/>
      <c r="E1" s="909"/>
      <c r="F1" s="909"/>
      <c r="G1" s="909"/>
      <c r="H1" s="909"/>
      <c r="I1" s="909"/>
      <c r="J1" s="909"/>
      <c r="K1" s="909"/>
      <c r="L1" s="909"/>
      <c r="M1" s="909"/>
      <c r="N1" s="909"/>
      <c r="O1" s="909"/>
      <c r="P1" s="909"/>
      <c r="Q1" s="909"/>
    </row>
    <row r="2" spans="1:17" s="59" customFormat="1" ht="15.75">
      <c r="A2" s="899" t="s">
        <v>692</v>
      </c>
      <c r="B2" s="899"/>
      <c r="C2" s="899"/>
      <c r="D2" s="899"/>
      <c r="E2" s="899"/>
      <c r="F2" s="899"/>
      <c r="G2" s="899"/>
      <c r="H2" s="899"/>
      <c r="I2" s="899"/>
      <c r="J2" s="899"/>
      <c r="K2" s="899"/>
      <c r="L2" s="899"/>
      <c r="M2" s="899"/>
      <c r="N2" s="899"/>
      <c r="O2" s="899"/>
      <c r="P2" s="899"/>
      <c r="Q2" s="899"/>
    </row>
    <row r="3" spans="1:17" s="59" customFormat="1" ht="15.75">
      <c r="A3" s="876" t="s">
        <v>10</v>
      </c>
      <c r="B3" s="876"/>
      <c r="C3" s="859" t="s">
        <v>117</v>
      </c>
      <c r="D3" s="859"/>
      <c r="E3" s="859"/>
      <c r="F3" s="859"/>
      <c r="G3" s="859"/>
      <c r="H3" s="859"/>
      <c r="I3" s="859"/>
      <c r="J3" s="859"/>
      <c r="K3" s="859"/>
      <c r="L3" s="859"/>
      <c r="M3" s="859"/>
      <c r="N3" s="859"/>
      <c r="O3" s="859"/>
      <c r="P3" s="859"/>
      <c r="Q3" s="859"/>
    </row>
    <row r="4" spans="1:17" s="59" customFormat="1" ht="15.75">
      <c r="A4" s="876" t="s">
        <v>11</v>
      </c>
      <c r="B4" s="876"/>
      <c r="C4" s="859" t="s">
        <v>118</v>
      </c>
      <c r="D4" s="859"/>
      <c r="E4" s="859"/>
      <c r="F4" s="859"/>
      <c r="G4" s="859"/>
      <c r="H4" s="859"/>
      <c r="I4" s="859"/>
      <c r="J4" s="859"/>
      <c r="K4" s="859"/>
      <c r="L4" s="859"/>
      <c r="M4" s="859"/>
      <c r="N4" s="859"/>
      <c r="O4" s="859"/>
      <c r="P4" s="859"/>
      <c r="Q4" s="859"/>
    </row>
    <row r="5" spans="1:17" s="59" customFormat="1" ht="15.75">
      <c r="A5" s="876" t="s">
        <v>12</v>
      </c>
      <c r="B5" s="876"/>
      <c r="C5" s="859" t="s">
        <v>50</v>
      </c>
      <c r="D5" s="859"/>
      <c r="E5" s="859"/>
      <c r="F5" s="859"/>
      <c r="G5" s="859"/>
      <c r="H5" s="859"/>
      <c r="I5" s="859"/>
      <c r="J5" s="859"/>
      <c r="K5" s="859"/>
      <c r="L5" s="859"/>
      <c r="M5" s="859"/>
      <c r="N5" s="859"/>
      <c r="O5" s="859"/>
      <c r="P5" s="859"/>
      <c r="Q5" s="859"/>
    </row>
    <row r="6" spans="1:17" s="59" customFormat="1" ht="15.75">
      <c r="A6" s="876" t="s">
        <v>30</v>
      </c>
      <c r="B6" s="876"/>
      <c r="C6" s="874"/>
      <c r="D6" s="874"/>
      <c r="E6" s="874"/>
      <c r="F6" s="874"/>
      <c r="G6" s="874"/>
      <c r="H6" s="874"/>
      <c r="I6" s="874"/>
      <c r="J6" s="874"/>
      <c r="K6" s="874"/>
      <c r="L6" s="874"/>
      <c r="M6" s="874"/>
      <c r="N6" s="874"/>
      <c r="O6" s="874"/>
      <c r="P6" s="874"/>
      <c r="Q6" s="874"/>
    </row>
    <row r="7" spans="1:17" s="59" customFormat="1" ht="15.75">
      <c r="A7" s="876" t="s">
        <v>54</v>
      </c>
      <c r="B7" s="876"/>
      <c r="C7" s="873"/>
      <c r="D7" s="873"/>
      <c r="E7" s="873"/>
      <c r="F7" s="873"/>
      <c r="G7" s="873"/>
      <c r="H7" s="873"/>
      <c r="I7" s="873"/>
      <c r="J7" s="873"/>
      <c r="K7" s="873"/>
      <c r="L7" s="873"/>
      <c r="M7" s="873"/>
      <c r="N7" s="873"/>
      <c r="O7" s="873"/>
      <c r="P7" s="873"/>
      <c r="Q7" s="873"/>
    </row>
    <row r="8" spans="1:17" s="59" customFormat="1" ht="15.75">
      <c r="A8" s="73"/>
      <c r="B8" s="73"/>
      <c r="C8" s="73"/>
      <c r="D8" s="73"/>
      <c r="E8" s="73"/>
      <c r="F8" s="104"/>
      <c r="G8" s="73"/>
      <c r="H8" s="73"/>
      <c r="I8" s="73"/>
      <c r="J8" s="73"/>
      <c r="K8" s="73"/>
      <c r="L8" s="73"/>
      <c r="M8" s="66"/>
      <c r="N8" s="66"/>
      <c r="O8" s="74"/>
      <c r="P8" s="63" t="s">
        <v>52</v>
      </c>
      <c r="Q8" s="75">
        <f>Q44</f>
        <v>0</v>
      </c>
    </row>
    <row r="9" spans="1:17" s="59" customFormat="1" ht="15.75">
      <c r="A9" s="73"/>
      <c r="B9" s="73"/>
      <c r="C9" s="73"/>
      <c r="D9" s="73"/>
      <c r="E9" s="73"/>
      <c r="F9" s="104"/>
      <c r="G9" s="73"/>
      <c r="H9" s="73"/>
      <c r="I9" s="73"/>
      <c r="J9" s="73"/>
      <c r="K9" s="73"/>
      <c r="L9" s="73"/>
      <c r="M9" s="66"/>
      <c r="N9" s="66"/>
      <c r="O9" s="74"/>
      <c r="P9" s="63"/>
      <c r="Q9" s="75"/>
    </row>
    <row r="10" spans="1:17" ht="14.25" customHeight="1">
      <c r="A10" s="893" t="s">
        <v>14</v>
      </c>
      <c r="B10" s="894" t="s">
        <v>21</v>
      </c>
      <c r="C10" s="896" t="s">
        <v>22</v>
      </c>
      <c r="D10" s="922" t="s">
        <v>1776</v>
      </c>
      <c r="E10" s="897" t="s">
        <v>23</v>
      </c>
      <c r="F10" s="898" t="s">
        <v>24</v>
      </c>
      <c r="G10" s="892" t="s">
        <v>25</v>
      </c>
      <c r="H10" s="892"/>
      <c r="I10" s="892"/>
      <c r="J10" s="892"/>
      <c r="K10" s="892"/>
      <c r="L10" s="892"/>
      <c r="M10" s="892" t="s">
        <v>26</v>
      </c>
      <c r="N10" s="892"/>
      <c r="O10" s="892"/>
      <c r="P10" s="892"/>
      <c r="Q10" s="892"/>
    </row>
    <row r="11" spans="1:17" ht="73.5" customHeight="1">
      <c r="A11" s="893"/>
      <c r="B11" s="895"/>
      <c r="C11" s="896"/>
      <c r="D11" s="923"/>
      <c r="E11" s="897"/>
      <c r="F11" s="898"/>
      <c r="G11" s="309" t="s">
        <v>27</v>
      </c>
      <c r="H11" s="309" t="s">
        <v>37</v>
      </c>
      <c r="I11" s="309" t="s">
        <v>38</v>
      </c>
      <c r="J11" s="309" t="s">
        <v>39</v>
      </c>
      <c r="K11" s="309" t="s">
        <v>40</v>
      </c>
      <c r="L11" s="309" t="s">
        <v>41</v>
      </c>
      <c r="M11" s="309" t="s">
        <v>18</v>
      </c>
      <c r="N11" s="309" t="s">
        <v>38</v>
      </c>
      <c r="O11" s="309" t="s">
        <v>39</v>
      </c>
      <c r="P11" s="309" t="s">
        <v>40</v>
      </c>
      <c r="Q11" s="309" t="s">
        <v>42</v>
      </c>
    </row>
    <row r="12" spans="1:17">
      <c r="A12" s="115">
        <v>1</v>
      </c>
      <c r="B12" s="115">
        <v>2</v>
      </c>
      <c r="C12" s="115">
        <v>3</v>
      </c>
      <c r="D12" s="115"/>
      <c r="E12" s="115">
        <v>4</v>
      </c>
      <c r="F12" s="622">
        <v>5</v>
      </c>
      <c r="G12" s="115">
        <v>6</v>
      </c>
      <c r="H12" s="115">
        <v>7</v>
      </c>
      <c r="I12" s="115">
        <v>8</v>
      </c>
      <c r="J12" s="115">
        <v>9</v>
      </c>
      <c r="K12" s="115">
        <v>10</v>
      </c>
      <c r="L12" s="115">
        <v>11</v>
      </c>
      <c r="M12" s="115">
        <v>12</v>
      </c>
      <c r="N12" s="115">
        <v>13</v>
      </c>
      <c r="O12" s="115">
        <v>14</v>
      </c>
      <c r="P12" s="115">
        <v>15</v>
      </c>
      <c r="Q12" s="115">
        <v>16</v>
      </c>
    </row>
    <row r="13" spans="1:17" s="68" customFormat="1">
      <c r="A13" s="370"/>
      <c r="B13" s="370"/>
      <c r="C13" s="502" t="s">
        <v>692</v>
      </c>
      <c r="D13" s="502"/>
      <c r="E13" s="370"/>
      <c r="F13" s="504"/>
      <c r="G13" s="370"/>
      <c r="H13" s="222"/>
      <c r="I13" s="135"/>
      <c r="J13" s="135"/>
      <c r="K13" s="223"/>
      <c r="L13" s="135"/>
      <c r="M13" s="135"/>
      <c r="N13" s="135"/>
      <c r="O13" s="135"/>
      <c r="P13" s="135"/>
      <c r="Q13" s="135"/>
    </row>
    <row r="14" spans="1:17" s="68" customFormat="1" ht="60">
      <c r="A14" s="385">
        <v>1</v>
      </c>
      <c r="B14" s="385" t="s">
        <v>149</v>
      </c>
      <c r="C14" s="541" t="s">
        <v>1390</v>
      </c>
      <c r="D14" s="387" t="s">
        <v>1391</v>
      </c>
      <c r="E14" s="387" t="s">
        <v>93</v>
      </c>
      <c r="F14" s="433">
        <v>1</v>
      </c>
      <c r="G14" s="387"/>
      <c r="H14" s="161"/>
      <c r="I14" s="146"/>
      <c r="J14" s="146"/>
      <c r="K14" s="163"/>
      <c r="L14" s="146"/>
      <c r="M14" s="146"/>
      <c r="N14" s="146"/>
      <c r="O14" s="146"/>
      <c r="P14" s="146"/>
      <c r="Q14" s="146"/>
    </row>
    <row r="15" spans="1:17" s="68" customFormat="1">
      <c r="A15" s="348">
        <f>A14+1</f>
        <v>2</v>
      </c>
      <c r="B15" s="348" t="s">
        <v>149</v>
      </c>
      <c r="C15" s="542" t="s">
        <v>1392</v>
      </c>
      <c r="D15" s="651">
        <v>995080</v>
      </c>
      <c r="E15" s="378" t="s">
        <v>91</v>
      </c>
      <c r="F15" s="354">
        <v>1</v>
      </c>
      <c r="G15" s="378"/>
      <c r="H15" s="143"/>
      <c r="I15" s="145"/>
      <c r="J15" s="145"/>
      <c r="K15" s="156"/>
      <c r="L15" s="145"/>
      <c r="M15" s="145"/>
      <c r="N15" s="145"/>
      <c r="O15" s="145"/>
      <c r="P15" s="145"/>
      <c r="Q15" s="145"/>
    </row>
    <row r="16" spans="1:17" s="68" customFormat="1" ht="36">
      <c r="A16" s="348">
        <f t="shared" ref="A16:A43" si="0">A15+1</f>
        <v>3</v>
      </c>
      <c r="B16" s="348" t="s">
        <v>149</v>
      </c>
      <c r="C16" s="542" t="s">
        <v>1393</v>
      </c>
      <c r="D16" s="378" t="s">
        <v>1394</v>
      </c>
      <c r="E16" s="378" t="s">
        <v>91</v>
      </c>
      <c r="F16" s="354">
        <v>1</v>
      </c>
      <c r="G16" s="378"/>
      <c r="H16" s="143"/>
      <c r="I16" s="145"/>
      <c r="J16" s="145"/>
      <c r="K16" s="156"/>
      <c r="L16" s="145"/>
      <c r="M16" s="145"/>
      <c r="N16" s="145"/>
      <c r="O16" s="145"/>
      <c r="P16" s="145"/>
      <c r="Q16" s="145"/>
    </row>
    <row r="17" spans="1:17" s="68" customFormat="1" ht="24">
      <c r="A17" s="348">
        <f t="shared" si="0"/>
        <v>4</v>
      </c>
      <c r="B17" s="348" t="s">
        <v>149</v>
      </c>
      <c r="C17" s="542" t="s">
        <v>1395</v>
      </c>
      <c r="D17" s="378" t="s">
        <v>1396</v>
      </c>
      <c r="E17" s="378" t="s">
        <v>91</v>
      </c>
      <c r="F17" s="354">
        <v>5</v>
      </c>
      <c r="G17" s="378"/>
      <c r="H17" s="143"/>
      <c r="I17" s="145"/>
      <c r="J17" s="145"/>
      <c r="K17" s="156"/>
      <c r="L17" s="145"/>
      <c r="M17" s="145"/>
      <c r="N17" s="145"/>
      <c r="O17" s="145"/>
      <c r="P17" s="145"/>
      <c r="Q17" s="145"/>
    </row>
    <row r="18" spans="1:17" s="68" customFormat="1" ht="24">
      <c r="A18" s="348">
        <f t="shared" si="0"/>
        <v>5</v>
      </c>
      <c r="B18" s="348" t="s">
        <v>149</v>
      </c>
      <c r="C18" s="542" t="s">
        <v>1397</v>
      </c>
      <c r="D18" s="378" t="s">
        <v>1398</v>
      </c>
      <c r="E18" s="378" t="s">
        <v>93</v>
      </c>
      <c r="F18" s="354">
        <v>4</v>
      </c>
      <c r="G18" s="378"/>
      <c r="H18" s="143"/>
      <c r="I18" s="145"/>
      <c r="J18" s="145"/>
      <c r="K18" s="156"/>
      <c r="L18" s="145"/>
      <c r="M18" s="145"/>
      <c r="N18" s="145"/>
      <c r="O18" s="145"/>
      <c r="P18" s="145"/>
      <c r="Q18" s="145"/>
    </row>
    <row r="19" spans="1:17" s="68" customFormat="1" ht="72">
      <c r="A19" s="348">
        <f t="shared" si="0"/>
        <v>6</v>
      </c>
      <c r="B19" s="348" t="s">
        <v>149</v>
      </c>
      <c r="C19" s="542" t="s">
        <v>1399</v>
      </c>
      <c r="D19" s="378" t="s">
        <v>1400</v>
      </c>
      <c r="E19" s="378" t="s">
        <v>91</v>
      </c>
      <c r="F19" s="354">
        <v>36</v>
      </c>
      <c r="G19" s="378"/>
      <c r="H19" s="143"/>
      <c r="I19" s="145"/>
      <c r="J19" s="145"/>
      <c r="K19" s="156"/>
      <c r="L19" s="145"/>
      <c r="M19" s="145"/>
      <c r="N19" s="145"/>
      <c r="O19" s="145"/>
      <c r="P19" s="145"/>
      <c r="Q19" s="145"/>
    </row>
    <row r="20" spans="1:17" s="68" customFormat="1" ht="24">
      <c r="A20" s="348">
        <f t="shared" si="0"/>
        <v>7</v>
      </c>
      <c r="B20" s="348" t="s">
        <v>149</v>
      </c>
      <c r="C20" s="542" t="s">
        <v>1401</v>
      </c>
      <c r="D20" s="378" t="s">
        <v>1402</v>
      </c>
      <c r="E20" s="378" t="s">
        <v>93</v>
      </c>
      <c r="F20" s="354">
        <f>F16+F17+F19</f>
        <v>42</v>
      </c>
      <c r="G20" s="378"/>
      <c r="H20" s="143"/>
      <c r="I20" s="145"/>
      <c r="J20" s="145"/>
      <c r="K20" s="156"/>
      <c r="L20" s="145"/>
      <c r="M20" s="145"/>
      <c r="N20" s="145"/>
      <c r="O20" s="145"/>
      <c r="P20" s="145"/>
      <c r="Q20" s="145"/>
    </row>
    <row r="21" spans="1:17" s="68" customFormat="1" ht="48">
      <c r="A21" s="348">
        <f t="shared" si="0"/>
        <v>8</v>
      </c>
      <c r="B21" s="348" t="s">
        <v>149</v>
      </c>
      <c r="C21" s="542" t="s">
        <v>1403</v>
      </c>
      <c r="D21" s="378" t="s">
        <v>1404</v>
      </c>
      <c r="E21" s="378" t="s">
        <v>93</v>
      </c>
      <c r="F21" s="354">
        <v>12</v>
      </c>
      <c r="G21" s="378"/>
      <c r="H21" s="143"/>
      <c r="I21" s="145"/>
      <c r="J21" s="145"/>
      <c r="K21" s="156"/>
      <c r="L21" s="145"/>
      <c r="M21" s="145"/>
      <c r="N21" s="145"/>
      <c r="O21" s="145"/>
      <c r="P21" s="145"/>
      <c r="Q21" s="145"/>
    </row>
    <row r="22" spans="1:17" s="68" customFormat="1" ht="24">
      <c r="A22" s="348">
        <f t="shared" si="0"/>
        <v>9</v>
      </c>
      <c r="B22" s="348" t="s">
        <v>149</v>
      </c>
      <c r="C22" s="542" t="s">
        <v>1405</v>
      </c>
      <c r="D22" s="378" t="s">
        <v>1406</v>
      </c>
      <c r="E22" s="378" t="s">
        <v>93</v>
      </c>
      <c r="F22" s="354">
        <v>67</v>
      </c>
      <c r="G22" s="378"/>
      <c r="H22" s="143"/>
      <c r="I22" s="145"/>
      <c r="J22" s="145"/>
      <c r="K22" s="156"/>
      <c r="L22" s="145"/>
      <c r="M22" s="145"/>
      <c r="N22" s="145"/>
      <c r="O22" s="145"/>
      <c r="P22" s="145"/>
      <c r="Q22" s="145"/>
    </row>
    <row r="23" spans="1:17" s="68" customFormat="1" ht="24">
      <c r="A23" s="348">
        <f t="shared" si="0"/>
        <v>10</v>
      </c>
      <c r="B23" s="348" t="s">
        <v>149</v>
      </c>
      <c r="C23" s="542" t="s">
        <v>1407</v>
      </c>
      <c r="D23" s="378" t="s">
        <v>1406</v>
      </c>
      <c r="E23" s="378" t="s">
        <v>93</v>
      </c>
      <c r="F23" s="354">
        <v>3</v>
      </c>
      <c r="G23" s="378"/>
      <c r="H23" s="143"/>
      <c r="I23" s="145"/>
      <c r="J23" s="145"/>
      <c r="K23" s="156"/>
      <c r="L23" s="145"/>
      <c r="M23" s="145"/>
      <c r="N23" s="145"/>
      <c r="O23" s="145"/>
      <c r="P23" s="145"/>
      <c r="Q23" s="145"/>
    </row>
    <row r="24" spans="1:17" s="68" customFormat="1">
      <c r="A24" s="348">
        <f t="shared" si="0"/>
        <v>11</v>
      </c>
      <c r="B24" s="348" t="s">
        <v>149</v>
      </c>
      <c r="C24" s="542" t="s">
        <v>1408</v>
      </c>
      <c r="D24" s="378"/>
      <c r="E24" s="378" t="s">
        <v>93</v>
      </c>
      <c r="F24" s="354">
        <v>120</v>
      </c>
      <c r="G24" s="378"/>
      <c r="H24" s="143"/>
      <c r="I24" s="145"/>
      <c r="J24" s="145"/>
      <c r="K24" s="156"/>
      <c r="L24" s="145"/>
      <c r="M24" s="145"/>
      <c r="N24" s="145"/>
      <c r="O24" s="145"/>
      <c r="P24" s="145"/>
      <c r="Q24" s="145"/>
    </row>
    <row r="25" spans="1:17" s="68" customFormat="1">
      <c r="A25" s="348">
        <f t="shared" si="0"/>
        <v>12</v>
      </c>
      <c r="B25" s="348" t="s">
        <v>149</v>
      </c>
      <c r="C25" s="542" t="s">
        <v>1409</v>
      </c>
      <c r="D25" s="378"/>
      <c r="E25" s="378" t="s">
        <v>91</v>
      </c>
      <c r="F25" s="354">
        <v>70</v>
      </c>
      <c r="G25" s="378"/>
      <c r="H25" s="143"/>
      <c r="I25" s="145"/>
      <c r="J25" s="145"/>
      <c r="K25" s="156"/>
      <c r="L25" s="145"/>
      <c r="M25" s="145"/>
      <c r="N25" s="145"/>
      <c r="O25" s="145"/>
      <c r="P25" s="145"/>
      <c r="Q25" s="145"/>
    </row>
    <row r="26" spans="1:17" s="68" customFormat="1">
      <c r="A26" s="348">
        <f t="shared" si="0"/>
        <v>13</v>
      </c>
      <c r="B26" s="348" t="s">
        <v>149</v>
      </c>
      <c r="C26" s="642" t="s">
        <v>1410</v>
      </c>
      <c r="D26" s="378"/>
      <c r="E26" s="378" t="s">
        <v>93</v>
      </c>
      <c r="F26" s="354">
        <v>4</v>
      </c>
      <c r="G26" s="378"/>
      <c r="H26" s="143"/>
      <c r="I26" s="145"/>
      <c r="J26" s="145"/>
      <c r="K26" s="156"/>
      <c r="L26" s="145"/>
      <c r="M26" s="145"/>
      <c r="N26" s="145"/>
      <c r="O26" s="145"/>
      <c r="P26" s="145"/>
      <c r="Q26" s="145"/>
    </row>
    <row r="27" spans="1:17" s="68" customFormat="1">
      <c r="A27" s="348">
        <f t="shared" si="0"/>
        <v>14</v>
      </c>
      <c r="B27" s="348" t="s">
        <v>149</v>
      </c>
      <c r="C27" s="542" t="s">
        <v>1411</v>
      </c>
      <c r="D27" s="378"/>
      <c r="E27" s="378" t="s">
        <v>91</v>
      </c>
      <c r="F27" s="354">
        <v>70</v>
      </c>
      <c r="G27" s="378"/>
      <c r="H27" s="143"/>
      <c r="I27" s="145"/>
      <c r="J27" s="145"/>
      <c r="K27" s="156"/>
      <c r="L27" s="145"/>
      <c r="M27" s="145"/>
      <c r="N27" s="145"/>
      <c r="O27" s="145"/>
      <c r="P27" s="145"/>
      <c r="Q27" s="145"/>
    </row>
    <row r="28" spans="1:17" s="68" customFormat="1" ht="24">
      <c r="A28" s="348">
        <f t="shared" si="0"/>
        <v>15</v>
      </c>
      <c r="B28" s="348" t="s">
        <v>149</v>
      </c>
      <c r="C28" s="642" t="s">
        <v>1412</v>
      </c>
      <c r="D28" s="378" t="s">
        <v>1413</v>
      </c>
      <c r="E28" s="378" t="s">
        <v>93</v>
      </c>
      <c r="F28" s="354">
        <v>10</v>
      </c>
      <c r="G28" s="378"/>
      <c r="H28" s="143"/>
      <c r="I28" s="145"/>
      <c r="J28" s="145"/>
      <c r="K28" s="156"/>
      <c r="L28" s="145"/>
      <c r="M28" s="145"/>
      <c r="N28" s="145"/>
      <c r="O28" s="145"/>
      <c r="P28" s="145"/>
      <c r="Q28" s="145"/>
    </row>
    <row r="29" spans="1:17" s="68" customFormat="1">
      <c r="A29" s="348">
        <f t="shared" si="0"/>
        <v>16</v>
      </c>
      <c r="B29" s="348" t="s">
        <v>149</v>
      </c>
      <c r="C29" s="542" t="s">
        <v>1414</v>
      </c>
      <c r="D29" s="378" t="s">
        <v>1415</v>
      </c>
      <c r="E29" s="378" t="s">
        <v>93</v>
      </c>
      <c r="F29" s="354">
        <v>3</v>
      </c>
      <c r="G29" s="378"/>
      <c r="H29" s="143"/>
      <c r="I29" s="145"/>
      <c r="J29" s="145"/>
      <c r="K29" s="156"/>
      <c r="L29" s="145"/>
      <c r="M29" s="145"/>
      <c r="N29" s="145"/>
      <c r="O29" s="145"/>
      <c r="P29" s="145"/>
      <c r="Q29" s="145"/>
    </row>
    <row r="30" spans="1:17" s="68" customFormat="1">
      <c r="A30" s="348">
        <f t="shared" si="0"/>
        <v>17</v>
      </c>
      <c r="B30" s="348" t="s">
        <v>149</v>
      </c>
      <c r="C30" s="542" t="s">
        <v>1416</v>
      </c>
      <c r="D30" s="378"/>
      <c r="E30" s="378" t="s">
        <v>93</v>
      </c>
      <c r="F30" s="354">
        <v>3</v>
      </c>
      <c r="G30" s="378"/>
      <c r="H30" s="143"/>
      <c r="I30" s="145"/>
      <c r="J30" s="145"/>
      <c r="K30" s="156"/>
      <c r="L30" s="145"/>
      <c r="M30" s="145"/>
      <c r="N30" s="145"/>
      <c r="O30" s="145"/>
      <c r="P30" s="145"/>
      <c r="Q30" s="145"/>
    </row>
    <row r="31" spans="1:17" s="68" customFormat="1">
      <c r="A31" s="348">
        <f t="shared" si="0"/>
        <v>18</v>
      </c>
      <c r="B31" s="348" t="s">
        <v>149</v>
      </c>
      <c r="C31" s="542" t="s">
        <v>1417</v>
      </c>
      <c r="D31" s="378" t="s">
        <v>1418</v>
      </c>
      <c r="E31" s="378" t="s">
        <v>93</v>
      </c>
      <c r="F31" s="354">
        <v>91</v>
      </c>
      <c r="G31" s="378"/>
      <c r="H31" s="143"/>
      <c r="I31" s="145"/>
      <c r="J31" s="145"/>
      <c r="K31" s="156"/>
      <c r="L31" s="145"/>
      <c r="M31" s="145"/>
      <c r="N31" s="145"/>
      <c r="O31" s="145"/>
      <c r="P31" s="145"/>
      <c r="Q31" s="145"/>
    </row>
    <row r="32" spans="1:17" s="68" customFormat="1">
      <c r="A32" s="348">
        <f t="shared" si="0"/>
        <v>19</v>
      </c>
      <c r="B32" s="348" t="s">
        <v>149</v>
      </c>
      <c r="C32" s="542" t="s">
        <v>1419</v>
      </c>
      <c r="D32" s="378" t="s">
        <v>1420</v>
      </c>
      <c r="E32" s="378" t="s">
        <v>93</v>
      </c>
      <c r="F32" s="354">
        <v>86</v>
      </c>
      <c r="G32" s="378"/>
      <c r="H32" s="143"/>
      <c r="I32" s="145"/>
      <c r="J32" s="145"/>
      <c r="K32" s="156"/>
      <c r="L32" s="145"/>
      <c r="M32" s="145"/>
      <c r="N32" s="145"/>
      <c r="O32" s="145"/>
      <c r="P32" s="145"/>
      <c r="Q32" s="145"/>
    </row>
    <row r="33" spans="1:17" s="68" customFormat="1">
      <c r="A33" s="348">
        <f t="shared" si="0"/>
        <v>20</v>
      </c>
      <c r="B33" s="348" t="s">
        <v>149</v>
      </c>
      <c r="C33" s="652" t="s">
        <v>1421</v>
      </c>
      <c r="D33" s="378"/>
      <c r="E33" s="378" t="s">
        <v>93</v>
      </c>
      <c r="F33" s="354">
        <v>5</v>
      </c>
      <c r="G33" s="378"/>
      <c r="H33" s="143"/>
      <c r="I33" s="145"/>
      <c r="J33" s="145"/>
      <c r="K33" s="156"/>
      <c r="L33" s="145"/>
      <c r="M33" s="145"/>
      <c r="N33" s="145"/>
      <c r="O33" s="145"/>
      <c r="P33" s="145"/>
      <c r="Q33" s="145"/>
    </row>
    <row r="34" spans="1:17" s="68" customFormat="1">
      <c r="A34" s="348">
        <f t="shared" si="0"/>
        <v>21</v>
      </c>
      <c r="B34" s="348" t="s">
        <v>149</v>
      </c>
      <c r="C34" s="652" t="s">
        <v>1422</v>
      </c>
      <c r="D34" s="378"/>
      <c r="E34" s="378" t="s">
        <v>93</v>
      </c>
      <c r="F34" s="354">
        <v>10</v>
      </c>
      <c r="G34" s="378"/>
      <c r="H34" s="143"/>
      <c r="I34" s="145"/>
      <c r="J34" s="145"/>
      <c r="K34" s="156"/>
      <c r="L34" s="145"/>
      <c r="M34" s="145"/>
      <c r="N34" s="145"/>
      <c r="O34" s="145"/>
      <c r="P34" s="145"/>
      <c r="Q34" s="145"/>
    </row>
    <row r="35" spans="1:17" s="68" customFormat="1">
      <c r="A35" s="348">
        <f t="shared" si="0"/>
        <v>22</v>
      </c>
      <c r="B35" s="348" t="s">
        <v>149</v>
      </c>
      <c r="C35" s="542" t="s">
        <v>1423</v>
      </c>
      <c r="D35" s="378"/>
      <c r="E35" s="378" t="s">
        <v>93</v>
      </c>
      <c r="F35" s="354">
        <v>14</v>
      </c>
      <c r="G35" s="378"/>
      <c r="H35" s="143"/>
      <c r="I35" s="145"/>
      <c r="J35" s="145"/>
      <c r="K35" s="156"/>
      <c r="L35" s="145"/>
      <c r="M35" s="145"/>
      <c r="N35" s="145"/>
      <c r="O35" s="145"/>
      <c r="P35" s="145"/>
      <c r="Q35" s="145"/>
    </row>
    <row r="36" spans="1:17" s="68" customFormat="1" ht="24">
      <c r="A36" s="348">
        <f t="shared" si="0"/>
        <v>23</v>
      </c>
      <c r="B36" s="348" t="s">
        <v>149</v>
      </c>
      <c r="C36" s="542" t="s">
        <v>1424</v>
      </c>
      <c r="D36" s="378" t="s">
        <v>1425</v>
      </c>
      <c r="E36" s="378" t="s">
        <v>77</v>
      </c>
      <c r="F36" s="354">
        <v>7500</v>
      </c>
      <c r="G36" s="378"/>
      <c r="H36" s="143"/>
      <c r="I36" s="145"/>
      <c r="J36" s="145"/>
      <c r="K36" s="156"/>
      <c r="L36" s="145"/>
      <c r="M36" s="145"/>
      <c r="N36" s="145"/>
      <c r="O36" s="145"/>
      <c r="P36" s="145"/>
      <c r="Q36" s="145"/>
    </row>
    <row r="37" spans="1:17" s="68" customFormat="1" ht="24">
      <c r="A37" s="348">
        <f t="shared" si="0"/>
        <v>24</v>
      </c>
      <c r="B37" s="348" t="s">
        <v>149</v>
      </c>
      <c r="C37" s="542" t="s">
        <v>1426</v>
      </c>
      <c r="D37" s="378" t="s">
        <v>1427</v>
      </c>
      <c r="E37" s="378" t="s">
        <v>77</v>
      </c>
      <c r="F37" s="354">
        <v>2000</v>
      </c>
      <c r="G37" s="378"/>
      <c r="H37" s="143"/>
      <c r="I37" s="145"/>
      <c r="J37" s="145"/>
      <c r="K37" s="156"/>
      <c r="L37" s="145"/>
      <c r="M37" s="145"/>
      <c r="N37" s="145"/>
      <c r="O37" s="145"/>
      <c r="P37" s="145"/>
      <c r="Q37" s="145"/>
    </row>
    <row r="38" spans="1:17" s="68" customFormat="1" ht="24">
      <c r="A38" s="348">
        <f t="shared" si="0"/>
        <v>25</v>
      </c>
      <c r="B38" s="348" t="s">
        <v>149</v>
      </c>
      <c r="C38" s="542" t="s">
        <v>1428</v>
      </c>
      <c r="D38" s="378" t="s">
        <v>1429</v>
      </c>
      <c r="E38" s="378" t="s">
        <v>77</v>
      </c>
      <c r="F38" s="354">
        <v>300</v>
      </c>
      <c r="G38" s="378"/>
      <c r="H38" s="143"/>
      <c r="I38" s="145"/>
      <c r="J38" s="145"/>
      <c r="K38" s="156"/>
      <c r="L38" s="145"/>
      <c r="M38" s="145"/>
      <c r="N38" s="145"/>
      <c r="O38" s="145"/>
      <c r="P38" s="145"/>
      <c r="Q38" s="145"/>
    </row>
    <row r="39" spans="1:17" s="68" customFormat="1">
      <c r="A39" s="348">
        <f t="shared" si="0"/>
        <v>26</v>
      </c>
      <c r="B39" s="348" t="s">
        <v>149</v>
      </c>
      <c r="C39" s="542" t="s">
        <v>1430</v>
      </c>
      <c r="D39" s="378" t="s">
        <v>1431</v>
      </c>
      <c r="E39" s="378" t="s">
        <v>77</v>
      </c>
      <c r="F39" s="354">
        <v>2000</v>
      </c>
      <c r="G39" s="378"/>
      <c r="H39" s="143"/>
      <c r="I39" s="145"/>
      <c r="J39" s="145"/>
      <c r="K39" s="156"/>
      <c r="L39" s="145"/>
      <c r="M39" s="145"/>
      <c r="N39" s="145"/>
      <c r="O39" s="145"/>
      <c r="P39" s="145"/>
      <c r="Q39" s="145"/>
    </row>
    <row r="40" spans="1:17" s="68" customFormat="1">
      <c r="A40" s="348">
        <f t="shared" si="0"/>
        <v>27</v>
      </c>
      <c r="B40" s="348" t="s">
        <v>149</v>
      </c>
      <c r="C40" s="542" t="s">
        <v>1432</v>
      </c>
      <c r="D40" s="378" t="s">
        <v>1431</v>
      </c>
      <c r="E40" s="378" t="s">
        <v>77</v>
      </c>
      <c r="F40" s="354">
        <v>1000</v>
      </c>
      <c r="G40" s="378"/>
      <c r="H40" s="143"/>
      <c r="I40" s="145"/>
      <c r="J40" s="145"/>
      <c r="K40" s="156"/>
      <c r="L40" s="145"/>
      <c r="M40" s="145"/>
      <c r="N40" s="145"/>
      <c r="O40" s="145"/>
      <c r="P40" s="145"/>
      <c r="Q40" s="145"/>
    </row>
    <row r="41" spans="1:17" s="68" customFormat="1" ht="48">
      <c r="A41" s="348">
        <f t="shared" si="0"/>
        <v>28</v>
      </c>
      <c r="B41" s="348" t="s">
        <v>149</v>
      </c>
      <c r="C41" s="542" t="s">
        <v>1433</v>
      </c>
      <c r="D41" s="378" t="s">
        <v>1434</v>
      </c>
      <c r="E41" s="378" t="s">
        <v>91</v>
      </c>
      <c r="F41" s="354">
        <v>30</v>
      </c>
      <c r="G41" s="378"/>
      <c r="H41" s="143"/>
      <c r="I41" s="145"/>
      <c r="J41" s="145"/>
      <c r="K41" s="156"/>
      <c r="L41" s="145"/>
      <c r="M41" s="145"/>
      <c r="N41" s="145"/>
      <c r="O41" s="145"/>
      <c r="P41" s="145"/>
      <c r="Q41" s="145"/>
    </row>
    <row r="42" spans="1:17" s="68" customFormat="1" ht="24">
      <c r="A42" s="348">
        <f t="shared" si="0"/>
        <v>29</v>
      </c>
      <c r="B42" s="348" t="s">
        <v>149</v>
      </c>
      <c r="C42" s="542" t="s">
        <v>1435</v>
      </c>
      <c r="D42" s="378"/>
      <c r="E42" s="378" t="s">
        <v>91</v>
      </c>
      <c r="F42" s="354">
        <v>1</v>
      </c>
      <c r="G42" s="378"/>
      <c r="H42" s="143"/>
      <c r="I42" s="145"/>
      <c r="J42" s="145"/>
      <c r="K42" s="156"/>
      <c r="L42" s="145"/>
      <c r="M42" s="145"/>
      <c r="N42" s="145"/>
      <c r="O42" s="145"/>
      <c r="P42" s="145"/>
      <c r="Q42" s="145"/>
    </row>
    <row r="43" spans="1:17" s="68" customFormat="1">
      <c r="A43" s="366">
        <f t="shared" si="0"/>
        <v>30</v>
      </c>
      <c r="B43" s="366" t="s">
        <v>149</v>
      </c>
      <c r="C43" s="544" t="s">
        <v>1436</v>
      </c>
      <c r="D43" s="495"/>
      <c r="E43" s="495" t="s">
        <v>91</v>
      </c>
      <c r="F43" s="438">
        <v>1</v>
      </c>
      <c r="G43" s="495"/>
      <c r="H43" s="161"/>
      <c r="I43" s="146"/>
      <c r="J43" s="146"/>
      <c r="K43" s="163"/>
      <c r="L43" s="146"/>
      <c r="M43" s="146"/>
      <c r="N43" s="146"/>
      <c r="O43" s="146"/>
      <c r="P43" s="146"/>
      <c r="Q43" s="146"/>
    </row>
    <row r="44" spans="1:17">
      <c r="A44" s="931" t="s">
        <v>177</v>
      </c>
      <c r="B44" s="931"/>
      <c r="C44" s="931"/>
      <c r="D44" s="931"/>
      <c r="E44" s="931"/>
      <c r="F44" s="931"/>
      <c r="G44" s="931"/>
      <c r="H44" s="931"/>
      <c r="I44" s="931"/>
      <c r="J44" s="931"/>
      <c r="K44" s="931"/>
      <c r="L44" s="931"/>
      <c r="M44" s="292">
        <f>SUM(M14:M43)</f>
        <v>0</v>
      </c>
      <c r="N44" s="292">
        <f t="shared" ref="N44:Q44" si="1">SUM(N14:N43)</f>
        <v>0</v>
      </c>
      <c r="O44" s="292">
        <f t="shared" si="1"/>
        <v>0</v>
      </c>
      <c r="P44" s="292">
        <f t="shared" si="1"/>
        <v>0</v>
      </c>
      <c r="Q44" s="292">
        <f t="shared" si="1"/>
        <v>0</v>
      </c>
    </row>
    <row r="45" spans="1:17">
      <c r="A45" s="932" t="s">
        <v>36</v>
      </c>
      <c r="B45" s="932"/>
      <c r="C45" s="653"/>
      <c r="D45" s="653"/>
      <c r="E45" s="653"/>
      <c r="F45" s="654"/>
      <c r="G45" s="653"/>
      <c r="H45" s="653"/>
      <c r="I45" s="653"/>
      <c r="J45" s="653"/>
      <c r="K45" s="653"/>
      <c r="L45" s="653"/>
      <c r="M45" s="299"/>
      <c r="N45" s="299"/>
      <c r="O45" s="299"/>
      <c r="P45" s="299"/>
      <c r="Q45" s="299"/>
    </row>
    <row r="46" spans="1:17">
      <c r="A46" s="653"/>
      <c r="B46" s="653"/>
      <c r="C46" s="653"/>
      <c r="D46" s="653"/>
      <c r="E46" s="653"/>
      <c r="F46" s="654"/>
      <c r="G46" s="653"/>
      <c r="H46" s="653"/>
      <c r="I46" s="653"/>
      <c r="J46" s="653"/>
      <c r="K46" s="653"/>
      <c r="L46" s="653"/>
      <c r="M46" s="299"/>
      <c r="N46" s="299"/>
      <c r="O46" s="299"/>
      <c r="P46" s="299"/>
      <c r="Q46" s="299"/>
    </row>
    <row r="47" spans="1:17" ht="15" customHeight="1">
      <c r="A47" s="886" t="s">
        <v>56</v>
      </c>
      <c r="B47" s="886"/>
      <c r="C47" s="886"/>
      <c r="D47" s="886"/>
      <c r="E47" s="886"/>
      <c r="F47" s="886"/>
      <c r="G47" s="886"/>
      <c r="H47" s="886"/>
      <c r="I47" s="886"/>
      <c r="J47" s="886"/>
      <c r="K47" s="886"/>
      <c r="L47" s="886"/>
      <c r="M47" s="886"/>
      <c r="N47" s="886"/>
      <c r="O47" s="886"/>
      <c r="P47" s="886"/>
      <c r="Q47" s="886"/>
    </row>
    <row r="48" spans="1:17">
      <c r="A48" s="910"/>
      <c r="B48" s="910"/>
      <c r="C48" s="50"/>
      <c r="D48" s="50"/>
      <c r="E48" s="50"/>
      <c r="F48" s="103"/>
      <c r="G48" s="50"/>
      <c r="H48" s="50"/>
      <c r="I48" s="50"/>
      <c r="J48" s="50"/>
      <c r="K48" s="50"/>
      <c r="L48" s="50"/>
      <c r="M48" s="50">
        <f>Koptame!A70</f>
        <v>0</v>
      </c>
      <c r="N48" s="50"/>
      <c r="O48" s="50"/>
      <c r="P48" s="50"/>
      <c r="Q48" s="50"/>
    </row>
    <row r="49" spans="1:17">
      <c r="A49" s="906" t="s">
        <v>7</v>
      </c>
      <c r="B49" s="906"/>
      <c r="C49" s="307"/>
      <c r="D49" s="307"/>
      <c r="E49" s="50"/>
      <c r="F49" s="103"/>
      <c r="G49" s="50"/>
      <c r="H49" s="50"/>
      <c r="I49" s="50"/>
      <c r="J49" s="50"/>
      <c r="K49" s="50"/>
      <c r="L49" s="50"/>
      <c r="M49" s="307"/>
      <c r="N49" s="81">
        <f>Koptame!B71</f>
        <v>0</v>
      </c>
      <c r="O49" s="81"/>
      <c r="P49" s="50"/>
      <c r="Q49" s="50"/>
    </row>
    <row r="50" spans="1:17">
      <c r="A50" s="653"/>
      <c r="B50" s="653"/>
      <c r="C50" s="653"/>
      <c r="D50" s="653"/>
      <c r="E50" s="653"/>
      <c r="F50" s="654"/>
      <c r="G50" s="653"/>
      <c r="H50" s="653"/>
      <c r="I50" s="653"/>
      <c r="J50" s="653"/>
      <c r="K50" s="653"/>
      <c r="L50" s="653"/>
      <c r="M50" s="299"/>
      <c r="N50" s="299"/>
      <c r="O50" s="299"/>
      <c r="P50" s="299"/>
      <c r="Q50" s="299"/>
    </row>
    <row r="51" spans="1:17">
      <c r="A51" s="653"/>
      <c r="B51" s="653"/>
      <c r="C51" s="653"/>
      <c r="D51" s="653"/>
      <c r="E51" s="653"/>
      <c r="F51" s="654"/>
      <c r="G51" s="653"/>
      <c r="H51" s="653"/>
      <c r="I51" s="653"/>
      <c r="J51" s="653"/>
      <c r="K51" s="653"/>
      <c r="L51" s="653"/>
      <c r="M51" s="299"/>
      <c r="N51" s="299"/>
      <c r="O51" s="299"/>
      <c r="P51" s="299"/>
      <c r="Q51" s="299"/>
    </row>
    <row r="52" spans="1:17" s="50" customFormat="1">
      <c r="A52" s="932"/>
      <c r="B52" s="932"/>
      <c r="C52" s="1"/>
      <c r="D52" s="1"/>
      <c r="E52" s="1"/>
      <c r="F52" s="98"/>
      <c r="G52" s="1"/>
      <c r="H52" s="1"/>
      <c r="I52" s="1"/>
      <c r="J52" s="1"/>
      <c r="K52" s="1"/>
      <c r="L52" s="1"/>
      <c r="M52" s="1"/>
      <c r="N52" s="1"/>
      <c r="O52" s="1"/>
      <c r="P52" s="1"/>
      <c r="Q52" s="1"/>
    </row>
  </sheetData>
  <mergeCells count="26">
    <mergeCell ref="G10:L10"/>
    <mergeCell ref="M10:Q10"/>
    <mergeCell ref="A10:A11"/>
    <mergeCell ref="B10:B11"/>
    <mergeCell ref="C10:C11"/>
    <mergeCell ref="E10:E11"/>
    <mergeCell ref="F10:F11"/>
    <mergeCell ref="D10:D11"/>
    <mergeCell ref="A1:Q1"/>
    <mergeCell ref="A3:B3"/>
    <mergeCell ref="C3:Q3"/>
    <mergeCell ref="A4:B4"/>
    <mergeCell ref="C4:Q4"/>
    <mergeCell ref="A2:Q2"/>
    <mergeCell ref="A5:B5"/>
    <mergeCell ref="C5:Q5"/>
    <mergeCell ref="A6:B6"/>
    <mergeCell ref="C6:Q6"/>
    <mergeCell ref="A7:B7"/>
    <mergeCell ref="C7:Q7"/>
    <mergeCell ref="A44:L44"/>
    <mergeCell ref="A52:B52"/>
    <mergeCell ref="A45:B45"/>
    <mergeCell ref="A47:Q47"/>
    <mergeCell ref="A48:B48"/>
    <mergeCell ref="A49:B49"/>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Q69"/>
  <sheetViews>
    <sheetView showZeros="0" zoomScale="75" zoomScaleNormal="75" zoomScaleSheetLayoutView="90" workbookViewId="0">
      <selection sqref="A1:P1"/>
    </sheetView>
  </sheetViews>
  <sheetFormatPr defaultColWidth="9.140625" defaultRowHeight="15"/>
  <cols>
    <col min="1" max="1" width="8.85546875" style="60" customWidth="1"/>
    <col min="2" max="2" width="11.7109375" style="60" customWidth="1"/>
    <col min="3" max="3" width="45.5703125" style="60" customWidth="1"/>
    <col min="4" max="4" width="8.7109375" style="60" customWidth="1"/>
    <col min="5" max="5" width="8.7109375" style="102" customWidth="1"/>
    <col min="6" max="11" width="8.7109375" style="60" customWidth="1"/>
    <col min="12" max="16" width="12.7109375" style="60" customWidth="1"/>
    <col min="17" max="17" width="9.140625" style="85"/>
    <col min="18" max="16384" width="9.140625" style="60"/>
  </cols>
  <sheetData>
    <row r="1" spans="1:17" s="59" customFormat="1" ht="15.75">
      <c r="A1" s="875" t="s">
        <v>69</v>
      </c>
      <c r="B1" s="875"/>
      <c r="C1" s="875"/>
      <c r="D1" s="875"/>
      <c r="E1" s="875"/>
      <c r="F1" s="875"/>
      <c r="G1" s="875"/>
      <c r="H1" s="875"/>
      <c r="I1" s="875"/>
      <c r="J1" s="875"/>
      <c r="K1" s="875"/>
      <c r="L1" s="875"/>
      <c r="M1" s="875"/>
      <c r="N1" s="875"/>
      <c r="O1" s="875"/>
      <c r="P1" s="875"/>
      <c r="Q1" s="101"/>
    </row>
    <row r="2" spans="1:17" s="59" customFormat="1" ht="15.75">
      <c r="A2" s="899" t="s">
        <v>694</v>
      </c>
      <c r="B2" s="899"/>
      <c r="C2" s="899"/>
      <c r="D2" s="899"/>
      <c r="E2" s="899"/>
      <c r="F2" s="899"/>
      <c r="G2" s="899"/>
      <c r="H2" s="899"/>
      <c r="I2" s="899"/>
      <c r="J2" s="899"/>
      <c r="K2" s="899"/>
      <c r="L2" s="899"/>
      <c r="M2" s="899"/>
      <c r="N2" s="899"/>
      <c r="O2" s="899"/>
      <c r="P2" s="899"/>
      <c r="Q2" s="101"/>
    </row>
    <row r="3" spans="1:17" s="59" customFormat="1" ht="15.75">
      <c r="A3" s="876" t="s">
        <v>10</v>
      </c>
      <c r="B3" s="876"/>
      <c r="C3" s="859" t="s">
        <v>117</v>
      </c>
      <c r="D3" s="859"/>
      <c r="E3" s="859"/>
      <c r="F3" s="859"/>
      <c r="G3" s="859"/>
      <c r="H3" s="859"/>
      <c r="I3" s="859"/>
      <c r="J3" s="859"/>
      <c r="K3" s="859"/>
      <c r="L3" s="859"/>
      <c r="M3" s="859"/>
      <c r="N3" s="859"/>
      <c r="O3" s="859"/>
      <c r="P3" s="859"/>
      <c r="Q3" s="101"/>
    </row>
    <row r="4" spans="1:17" s="59" customFormat="1" ht="15.75">
      <c r="A4" s="876" t="s">
        <v>11</v>
      </c>
      <c r="B4" s="876"/>
      <c r="C4" s="859" t="s">
        <v>118</v>
      </c>
      <c r="D4" s="859"/>
      <c r="E4" s="859"/>
      <c r="F4" s="859"/>
      <c r="G4" s="859"/>
      <c r="H4" s="859"/>
      <c r="I4" s="859"/>
      <c r="J4" s="859"/>
      <c r="K4" s="859"/>
      <c r="L4" s="859"/>
      <c r="M4" s="859"/>
      <c r="N4" s="859"/>
      <c r="O4" s="859"/>
      <c r="P4" s="859"/>
      <c r="Q4" s="101"/>
    </row>
    <row r="5" spans="1:17" s="59" customFormat="1" ht="15.75">
      <c r="A5" s="876" t="s">
        <v>12</v>
      </c>
      <c r="B5" s="876"/>
      <c r="C5" s="859" t="s">
        <v>50</v>
      </c>
      <c r="D5" s="859"/>
      <c r="E5" s="859"/>
      <c r="F5" s="859"/>
      <c r="G5" s="859"/>
      <c r="H5" s="859"/>
      <c r="I5" s="859"/>
      <c r="J5" s="859"/>
      <c r="K5" s="859"/>
      <c r="L5" s="859"/>
      <c r="M5" s="859"/>
      <c r="N5" s="859"/>
      <c r="O5" s="859"/>
      <c r="P5" s="859"/>
      <c r="Q5" s="101"/>
    </row>
    <row r="6" spans="1:17" s="59" customFormat="1" ht="15.75">
      <c r="A6" s="876" t="s">
        <v>30</v>
      </c>
      <c r="B6" s="876"/>
      <c r="C6" s="874"/>
      <c r="D6" s="874"/>
      <c r="E6" s="874"/>
      <c r="F6" s="874"/>
      <c r="G6" s="874"/>
      <c r="H6" s="874"/>
      <c r="I6" s="874"/>
      <c r="J6" s="874"/>
      <c r="K6" s="874"/>
      <c r="L6" s="874"/>
      <c r="M6" s="874"/>
      <c r="N6" s="874"/>
      <c r="O6" s="874"/>
      <c r="P6" s="874"/>
      <c r="Q6" s="101"/>
    </row>
    <row r="7" spans="1:17" s="59" customFormat="1" ht="15.75">
      <c r="A7" s="876" t="s">
        <v>54</v>
      </c>
      <c r="B7" s="876"/>
      <c r="C7" s="873"/>
      <c r="D7" s="873"/>
      <c r="E7" s="873"/>
      <c r="F7" s="873"/>
      <c r="G7" s="873"/>
      <c r="H7" s="873"/>
      <c r="I7" s="873"/>
      <c r="J7" s="873"/>
      <c r="K7" s="873"/>
      <c r="L7" s="873"/>
      <c r="M7" s="873"/>
      <c r="N7" s="873"/>
      <c r="O7" s="873"/>
      <c r="P7" s="873"/>
      <c r="Q7" s="101"/>
    </row>
    <row r="8" spans="1:17" s="59" customFormat="1" ht="15.75">
      <c r="A8" s="73"/>
      <c r="B8" s="73"/>
      <c r="C8" s="73"/>
      <c r="D8" s="73"/>
      <c r="E8" s="104"/>
      <c r="F8" s="73"/>
      <c r="G8" s="73"/>
      <c r="H8" s="73"/>
      <c r="I8" s="73"/>
      <c r="J8" s="73"/>
      <c r="K8" s="73"/>
      <c r="L8" s="66"/>
      <c r="M8" s="66"/>
      <c r="N8" s="74"/>
      <c r="O8" s="63" t="s">
        <v>52</v>
      </c>
      <c r="P8" s="75">
        <f>P65</f>
        <v>0</v>
      </c>
      <c r="Q8" s="101"/>
    </row>
    <row r="9" spans="1:17" ht="15.75">
      <c r="A9" s="65"/>
      <c r="B9" s="65"/>
      <c r="C9" s="66"/>
      <c r="D9" s="66"/>
      <c r="E9" s="110"/>
      <c r="F9" s="66"/>
      <c r="G9" s="66"/>
      <c r="H9" s="66"/>
      <c r="I9" s="66"/>
      <c r="J9" s="66"/>
      <c r="K9" s="66"/>
      <c r="L9" s="66"/>
      <c r="M9" s="66"/>
      <c r="N9" s="66"/>
      <c r="O9" s="66"/>
      <c r="P9" s="66"/>
    </row>
    <row r="10" spans="1:17"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7"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7">
      <c r="A12" s="209">
        <v>1</v>
      </c>
      <c r="B12" s="209">
        <v>2</v>
      </c>
      <c r="C12" s="209">
        <v>3</v>
      </c>
      <c r="D12" s="209">
        <v>4</v>
      </c>
      <c r="E12" s="210">
        <v>5</v>
      </c>
      <c r="F12" s="209">
        <v>6</v>
      </c>
      <c r="G12" s="209">
        <v>7</v>
      </c>
      <c r="H12" s="209">
        <v>8</v>
      </c>
      <c r="I12" s="209">
        <v>9</v>
      </c>
      <c r="J12" s="209">
        <v>10</v>
      </c>
      <c r="K12" s="209">
        <v>11</v>
      </c>
      <c r="L12" s="209">
        <v>12</v>
      </c>
      <c r="M12" s="209">
        <v>13</v>
      </c>
      <c r="N12" s="209">
        <v>14</v>
      </c>
      <c r="O12" s="209">
        <v>15</v>
      </c>
      <c r="P12" s="209">
        <v>16</v>
      </c>
    </row>
    <row r="13" spans="1:17" s="68" customFormat="1">
      <c r="A13" s="370"/>
      <c r="B13" s="370"/>
      <c r="C13" s="502" t="s">
        <v>694</v>
      </c>
      <c r="D13" s="370"/>
      <c r="E13" s="504"/>
      <c r="F13" s="164"/>
      <c r="G13" s="164"/>
      <c r="H13" s="164"/>
      <c r="I13" s="164"/>
      <c r="J13" s="164"/>
      <c r="K13" s="139"/>
      <c r="L13" s="139"/>
      <c r="M13" s="139"/>
      <c r="N13" s="139"/>
      <c r="O13" s="139"/>
      <c r="P13" s="139"/>
      <c r="Q13" s="108"/>
    </row>
    <row r="14" spans="1:17" s="68" customFormat="1">
      <c r="A14" s="385">
        <v>1</v>
      </c>
      <c r="B14" s="385" t="s">
        <v>149</v>
      </c>
      <c r="C14" s="641" t="s">
        <v>1437</v>
      </c>
      <c r="D14" s="387" t="s">
        <v>77</v>
      </c>
      <c r="E14" s="662">
        <v>19500</v>
      </c>
      <c r="F14" s="281"/>
      <c r="G14" s="281"/>
      <c r="H14" s="281"/>
      <c r="I14" s="281"/>
      <c r="J14" s="281"/>
      <c r="K14" s="282"/>
      <c r="L14" s="282"/>
      <c r="M14" s="282"/>
      <c r="N14" s="282"/>
      <c r="O14" s="282"/>
      <c r="P14" s="282"/>
      <c r="Q14" s="108"/>
    </row>
    <row r="15" spans="1:17" s="68" customFormat="1">
      <c r="A15" s="348">
        <f>A14+1</f>
        <v>2</v>
      </c>
      <c r="B15" s="348" t="s">
        <v>149</v>
      </c>
      <c r="C15" s="642" t="s">
        <v>1438</v>
      </c>
      <c r="D15" s="378" t="s">
        <v>77</v>
      </c>
      <c r="E15" s="663">
        <v>220</v>
      </c>
      <c r="F15" s="155"/>
      <c r="G15" s="143"/>
      <c r="H15" s="145"/>
      <c r="I15" s="145"/>
      <c r="J15" s="156"/>
      <c r="K15" s="145"/>
      <c r="L15" s="145"/>
      <c r="M15" s="145"/>
      <c r="N15" s="145"/>
      <c r="O15" s="145"/>
      <c r="P15" s="145"/>
      <c r="Q15" s="108"/>
    </row>
    <row r="16" spans="1:17" s="68" customFormat="1">
      <c r="A16" s="348">
        <f t="shared" ref="A16:A47" si="0">A15+1</f>
        <v>3</v>
      </c>
      <c r="B16" s="348" t="s">
        <v>149</v>
      </c>
      <c r="C16" s="642" t="s">
        <v>1439</v>
      </c>
      <c r="D16" s="378" t="s">
        <v>77</v>
      </c>
      <c r="E16" s="663">
        <v>50</v>
      </c>
      <c r="F16" s="155"/>
      <c r="G16" s="143"/>
      <c r="H16" s="145"/>
      <c r="I16" s="145"/>
      <c r="J16" s="156"/>
      <c r="K16" s="145"/>
      <c r="L16" s="145"/>
      <c r="M16" s="145"/>
      <c r="N16" s="145"/>
      <c r="O16" s="145"/>
      <c r="P16" s="145"/>
      <c r="Q16" s="108"/>
    </row>
    <row r="17" spans="1:17" s="68" customFormat="1" ht="36.75">
      <c r="A17" s="348">
        <f t="shared" si="0"/>
        <v>4</v>
      </c>
      <c r="B17" s="348" t="s">
        <v>149</v>
      </c>
      <c r="C17" s="642" t="s">
        <v>1440</v>
      </c>
      <c r="D17" s="378" t="s">
        <v>90</v>
      </c>
      <c r="E17" s="663">
        <v>2</v>
      </c>
      <c r="F17" s="155"/>
      <c r="G17" s="143"/>
      <c r="H17" s="145"/>
      <c r="I17" s="145"/>
      <c r="J17" s="156"/>
      <c r="K17" s="145"/>
      <c r="L17" s="145"/>
      <c r="M17" s="145"/>
      <c r="N17" s="145"/>
      <c r="O17" s="145"/>
      <c r="P17" s="145"/>
      <c r="Q17" s="108"/>
    </row>
    <row r="18" spans="1:17" s="68" customFormat="1" ht="24.75">
      <c r="A18" s="348">
        <f t="shared" si="0"/>
        <v>5</v>
      </c>
      <c r="B18" s="348" t="s">
        <v>149</v>
      </c>
      <c r="C18" s="642" t="s">
        <v>1441</v>
      </c>
      <c r="D18" s="464" t="s">
        <v>93</v>
      </c>
      <c r="E18" s="663">
        <v>12</v>
      </c>
      <c r="F18" s="155"/>
      <c r="G18" s="143"/>
      <c r="H18" s="145"/>
      <c r="I18" s="145"/>
      <c r="J18" s="156"/>
      <c r="K18" s="145"/>
      <c r="L18" s="145"/>
      <c r="M18" s="145"/>
      <c r="N18" s="145"/>
      <c r="O18" s="145"/>
      <c r="P18" s="145"/>
      <c r="Q18" s="108"/>
    </row>
    <row r="19" spans="1:17" s="68" customFormat="1" ht="24.75">
      <c r="A19" s="348">
        <f t="shared" si="0"/>
        <v>6</v>
      </c>
      <c r="B19" s="348" t="s">
        <v>149</v>
      </c>
      <c r="C19" s="642" t="s">
        <v>1442</v>
      </c>
      <c r="D19" s="464" t="s">
        <v>90</v>
      </c>
      <c r="E19" s="663">
        <v>3</v>
      </c>
      <c r="F19" s="155"/>
      <c r="G19" s="143"/>
      <c r="H19" s="145"/>
      <c r="I19" s="145"/>
      <c r="J19" s="156"/>
      <c r="K19" s="145"/>
      <c r="L19" s="145"/>
      <c r="M19" s="145"/>
      <c r="N19" s="145"/>
      <c r="O19" s="145"/>
      <c r="P19" s="145"/>
      <c r="Q19" s="108"/>
    </row>
    <row r="20" spans="1:17" s="68" customFormat="1">
      <c r="A20" s="348">
        <f t="shared" si="0"/>
        <v>7</v>
      </c>
      <c r="B20" s="348" t="s">
        <v>149</v>
      </c>
      <c r="C20" s="642" t="s">
        <v>1443</v>
      </c>
      <c r="D20" s="378" t="s">
        <v>93</v>
      </c>
      <c r="E20" s="664">
        <v>20</v>
      </c>
      <c r="F20" s="155"/>
      <c r="G20" s="143"/>
      <c r="H20" s="145"/>
      <c r="I20" s="145"/>
      <c r="J20" s="156"/>
      <c r="K20" s="145"/>
      <c r="L20" s="145"/>
      <c r="M20" s="145"/>
      <c r="N20" s="145"/>
      <c r="O20" s="145"/>
      <c r="P20" s="145"/>
      <c r="Q20" s="108"/>
    </row>
    <row r="21" spans="1:17" s="68" customFormat="1">
      <c r="A21" s="348">
        <f t="shared" si="0"/>
        <v>8</v>
      </c>
      <c r="B21" s="348" t="s">
        <v>149</v>
      </c>
      <c r="C21" s="642" t="s">
        <v>1444</v>
      </c>
      <c r="D21" s="464" t="s">
        <v>93</v>
      </c>
      <c r="E21" s="664">
        <v>5</v>
      </c>
      <c r="F21" s="143"/>
      <c r="G21" s="143"/>
      <c r="H21" s="145"/>
      <c r="I21" s="145"/>
      <c r="J21" s="156"/>
      <c r="K21" s="145"/>
      <c r="L21" s="145"/>
      <c r="M21" s="145"/>
      <c r="N21" s="145"/>
      <c r="O21" s="145"/>
      <c r="P21" s="145"/>
      <c r="Q21" s="108"/>
    </row>
    <row r="22" spans="1:17" s="68" customFormat="1" ht="24.75">
      <c r="A22" s="348">
        <f t="shared" si="0"/>
        <v>9</v>
      </c>
      <c r="B22" s="348" t="s">
        <v>149</v>
      </c>
      <c r="C22" s="642" t="s">
        <v>1445</v>
      </c>
      <c r="D22" s="378" t="s">
        <v>93</v>
      </c>
      <c r="E22" s="664">
        <v>2</v>
      </c>
      <c r="F22" s="143"/>
      <c r="G22" s="143"/>
      <c r="H22" s="145"/>
      <c r="I22" s="145"/>
      <c r="J22" s="156"/>
      <c r="K22" s="145"/>
      <c r="L22" s="145"/>
      <c r="M22" s="145"/>
      <c r="N22" s="145"/>
      <c r="O22" s="145"/>
      <c r="P22" s="145"/>
      <c r="Q22" s="108"/>
    </row>
    <row r="23" spans="1:17" s="68" customFormat="1" ht="24.75">
      <c r="A23" s="348">
        <f t="shared" si="0"/>
        <v>10</v>
      </c>
      <c r="B23" s="348" t="s">
        <v>149</v>
      </c>
      <c r="C23" s="642" t="s">
        <v>1446</v>
      </c>
      <c r="D23" s="378" t="s">
        <v>93</v>
      </c>
      <c r="E23" s="664">
        <v>2</v>
      </c>
      <c r="F23" s="155"/>
      <c r="G23" s="143"/>
      <c r="H23" s="145"/>
      <c r="I23" s="145"/>
      <c r="J23" s="156"/>
      <c r="K23" s="145"/>
      <c r="L23" s="145"/>
      <c r="M23" s="145"/>
      <c r="N23" s="145"/>
      <c r="O23" s="145"/>
      <c r="P23" s="145"/>
      <c r="Q23" s="108"/>
    </row>
    <row r="24" spans="1:17" s="68" customFormat="1">
      <c r="A24" s="348">
        <f t="shared" si="0"/>
        <v>11</v>
      </c>
      <c r="B24" s="348" t="s">
        <v>149</v>
      </c>
      <c r="C24" s="642" t="s">
        <v>1447</v>
      </c>
      <c r="D24" s="378" t="s">
        <v>90</v>
      </c>
      <c r="E24" s="664">
        <v>2</v>
      </c>
      <c r="F24" s="155"/>
      <c r="G24" s="143"/>
      <c r="H24" s="145"/>
      <c r="I24" s="145"/>
      <c r="J24" s="156"/>
      <c r="K24" s="145"/>
      <c r="L24" s="145"/>
      <c r="M24" s="145"/>
      <c r="N24" s="145"/>
      <c r="O24" s="145"/>
      <c r="P24" s="145"/>
      <c r="Q24" s="108"/>
    </row>
    <row r="25" spans="1:17" s="68" customFormat="1">
      <c r="A25" s="348">
        <f t="shared" si="0"/>
        <v>12</v>
      </c>
      <c r="B25" s="348" t="s">
        <v>149</v>
      </c>
      <c r="C25" s="642" t="s">
        <v>1448</v>
      </c>
      <c r="D25" s="464" t="s">
        <v>90</v>
      </c>
      <c r="E25" s="582">
        <v>2</v>
      </c>
      <c r="F25" s="277"/>
      <c r="G25" s="278"/>
      <c r="H25" s="276"/>
      <c r="I25" s="276"/>
      <c r="J25" s="279"/>
      <c r="K25" s="276"/>
      <c r="L25" s="276"/>
      <c r="M25" s="276"/>
      <c r="N25" s="276"/>
      <c r="O25" s="276"/>
      <c r="P25" s="276"/>
      <c r="Q25" s="108"/>
    </row>
    <row r="26" spans="1:17" s="68" customFormat="1">
      <c r="A26" s="348">
        <f t="shared" si="0"/>
        <v>13</v>
      </c>
      <c r="B26" s="348" t="s">
        <v>149</v>
      </c>
      <c r="C26" s="642" t="s">
        <v>1449</v>
      </c>
      <c r="D26" s="464" t="s">
        <v>93</v>
      </c>
      <c r="E26" s="582">
        <v>200</v>
      </c>
      <c r="F26" s="143"/>
      <c r="G26" s="143"/>
      <c r="H26" s="145"/>
      <c r="I26" s="145"/>
      <c r="J26" s="156"/>
      <c r="K26" s="145"/>
      <c r="L26" s="145"/>
      <c r="M26" s="145"/>
      <c r="N26" s="145"/>
      <c r="O26" s="145"/>
      <c r="P26" s="145"/>
      <c r="Q26" s="108"/>
    </row>
    <row r="27" spans="1:17" s="68" customFormat="1">
      <c r="A27" s="348">
        <f t="shared" si="0"/>
        <v>14</v>
      </c>
      <c r="B27" s="348" t="s">
        <v>149</v>
      </c>
      <c r="C27" s="642" t="s">
        <v>1450</v>
      </c>
      <c r="D27" s="378" t="s">
        <v>93</v>
      </c>
      <c r="E27" s="582">
        <v>48</v>
      </c>
      <c r="F27" s="143"/>
      <c r="G27" s="143"/>
      <c r="H27" s="145"/>
      <c r="I27" s="145"/>
      <c r="J27" s="156"/>
      <c r="K27" s="145"/>
      <c r="L27" s="145"/>
      <c r="M27" s="145"/>
      <c r="N27" s="145"/>
      <c r="O27" s="145"/>
      <c r="P27" s="145"/>
      <c r="Q27" s="108"/>
    </row>
    <row r="28" spans="1:17" s="68" customFormat="1">
      <c r="A28" s="348">
        <f t="shared" si="0"/>
        <v>15</v>
      </c>
      <c r="B28" s="348" t="s">
        <v>149</v>
      </c>
      <c r="C28" s="642" t="s">
        <v>1451</v>
      </c>
      <c r="D28" s="378" t="s">
        <v>93</v>
      </c>
      <c r="E28" s="582">
        <v>96</v>
      </c>
      <c r="F28" s="143"/>
      <c r="G28" s="143"/>
      <c r="H28" s="145"/>
      <c r="I28" s="145"/>
      <c r="J28" s="156"/>
      <c r="K28" s="145"/>
      <c r="L28" s="145"/>
      <c r="M28" s="145"/>
      <c r="N28" s="145"/>
      <c r="O28" s="145"/>
      <c r="P28" s="145"/>
      <c r="Q28" s="108"/>
    </row>
    <row r="29" spans="1:17" s="68" customFormat="1">
      <c r="A29" s="348">
        <f t="shared" si="0"/>
        <v>16</v>
      </c>
      <c r="B29" s="348" t="s">
        <v>149</v>
      </c>
      <c r="C29" s="642" t="s">
        <v>1452</v>
      </c>
      <c r="D29" s="464" t="s">
        <v>93</v>
      </c>
      <c r="E29" s="582">
        <v>247</v>
      </c>
      <c r="F29" s="143"/>
      <c r="G29" s="143"/>
      <c r="H29" s="145"/>
      <c r="I29" s="145"/>
      <c r="J29" s="156"/>
      <c r="K29" s="145"/>
      <c r="L29" s="145"/>
      <c r="M29" s="145"/>
      <c r="N29" s="145"/>
      <c r="O29" s="145"/>
      <c r="P29" s="145"/>
      <c r="Q29" s="108"/>
    </row>
    <row r="30" spans="1:17" s="68" customFormat="1">
      <c r="A30" s="348">
        <f t="shared" si="0"/>
        <v>17</v>
      </c>
      <c r="B30" s="348" t="s">
        <v>149</v>
      </c>
      <c r="C30" s="642" t="s">
        <v>1453</v>
      </c>
      <c r="D30" s="378" t="s">
        <v>90</v>
      </c>
      <c r="E30" s="582">
        <v>95</v>
      </c>
      <c r="F30" s="143"/>
      <c r="G30" s="143"/>
      <c r="H30" s="145"/>
      <c r="I30" s="145"/>
      <c r="J30" s="156"/>
      <c r="K30" s="145"/>
      <c r="L30" s="145"/>
      <c r="M30" s="145"/>
      <c r="N30" s="145"/>
      <c r="O30" s="145"/>
      <c r="P30" s="145"/>
      <c r="Q30" s="108"/>
    </row>
    <row r="31" spans="1:17" s="68" customFormat="1">
      <c r="A31" s="348">
        <f t="shared" si="0"/>
        <v>18</v>
      </c>
      <c r="B31" s="348" t="s">
        <v>149</v>
      </c>
      <c r="C31" s="642" t="s">
        <v>1454</v>
      </c>
      <c r="D31" s="464" t="s">
        <v>93</v>
      </c>
      <c r="E31" s="582">
        <v>95</v>
      </c>
      <c r="F31" s="143"/>
      <c r="G31" s="143"/>
      <c r="H31" s="145"/>
      <c r="I31" s="145"/>
      <c r="J31" s="156"/>
      <c r="K31" s="145"/>
      <c r="L31" s="145"/>
      <c r="M31" s="145"/>
      <c r="N31" s="145"/>
      <c r="O31" s="145"/>
      <c r="P31" s="145"/>
      <c r="Q31" s="108"/>
    </row>
    <row r="32" spans="1:17" s="68" customFormat="1">
      <c r="A32" s="348">
        <f t="shared" si="0"/>
        <v>19</v>
      </c>
      <c r="B32" s="348" t="s">
        <v>149</v>
      </c>
      <c r="C32" s="642" t="s">
        <v>1455</v>
      </c>
      <c r="D32" s="464" t="s">
        <v>90</v>
      </c>
      <c r="E32" s="582">
        <v>31</v>
      </c>
      <c r="F32" s="143"/>
      <c r="G32" s="143"/>
      <c r="H32" s="145"/>
      <c r="I32" s="145"/>
      <c r="J32" s="156"/>
      <c r="K32" s="145"/>
      <c r="L32" s="145"/>
      <c r="M32" s="145"/>
      <c r="N32" s="145"/>
      <c r="O32" s="145"/>
      <c r="P32" s="145"/>
      <c r="Q32" s="108"/>
    </row>
    <row r="33" spans="1:17" s="68" customFormat="1">
      <c r="A33" s="348">
        <f t="shared" si="0"/>
        <v>20</v>
      </c>
      <c r="B33" s="348" t="s">
        <v>149</v>
      </c>
      <c r="C33" s="642" t="s">
        <v>1456</v>
      </c>
      <c r="D33" s="378" t="s">
        <v>90</v>
      </c>
      <c r="E33" s="582">
        <v>10</v>
      </c>
      <c r="F33" s="143"/>
      <c r="G33" s="143"/>
      <c r="H33" s="145"/>
      <c r="I33" s="145"/>
      <c r="J33" s="156"/>
      <c r="K33" s="145"/>
      <c r="L33" s="145"/>
      <c r="M33" s="145"/>
      <c r="N33" s="145"/>
      <c r="O33" s="145"/>
      <c r="P33" s="145"/>
      <c r="Q33" s="108"/>
    </row>
    <row r="34" spans="1:17" s="68" customFormat="1">
      <c r="A34" s="348">
        <f t="shared" si="0"/>
        <v>21</v>
      </c>
      <c r="B34" s="348" t="s">
        <v>149</v>
      </c>
      <c r="C34" s="642" t="s">
        <v>1457</v>
      </c>
      <c r="D34" s="464" t="s">
        <v>77</v>
      </c>
      <c r="E34" s="582">
        <v>400</v>
      </c>
      <c r="F34" s="143"/>
      <c r="G34" s="143"/>
      <c r="H34" s="145"/>
      <c r="I34" s="145"/>
      <c r="J34" s="156"/>
      <c r="K34" s="145"/>
      <c r="L34" s="145"/>
      <c r="M34" s="145"/>
      <c r="N34" s="145"/>
      <c r="O34" s="145"/>
      <c r="P34" s="145"/>
      <c r="Q34" s="108"/>
    </row>
    <row r="35" spans="1:17" s="68" customFormat="1">
      <c r="A35" s="348">
        <f t="shared" si="0"/>
        <v>22</v>
      </c>
      <c r="B35" s="348" t="s">
        <v>149</v>
      </c>
      <c r="C35" s="642" t="s">
        <v>1458</v>
      </c>
      <c r="D35" s="464" t="s">
        <v>77</v>
      </c>
      <c r="E35" s="582">
        <v>100</v>
      </c>
      <c r="F35" s="143"/>
      <c r="G35" s="143"/>
      <c r="H35" s="145"/>
      <c r="I35" s="145"/>
      <c r="J35" s="156"/>
      <c r="K35" s="145"/>
      <c r="L35" s="145"/>
      <c r="M35" s="145"/>
      <c r="N35" s="145"/>
      <c r="O35" s="145"/>
      <c r="P35" s="145"/>
      <c r="Q35" s="108"/>
    </row>
    <row r="36" spans="1:17" s="68" customFormat="1">
      <c r="A36" s="348">
        <f t="shared" si="0"/>
        <v>23</v>
      </c>
      <c r="B36" s="348" t="s">
        <v>149</v>
      </c>
      <c r="C36" s="642" t="s">
        <v>1459</v>
      </c>
      <c r="D36" s="464" t="s">
        <v>77</v>
      </c>
      <c r="E36" s="582">
        <v>60</v>
      </c>
      <c r="F36" s="143"/>
      <c r="G36" s="143"/>
      <c r="H36" s="145"/>
      <c r="I36" s="145"/>
      <c r="J36" s="156"/>
      <c r="K36" s="145"/>
      <c r="L36" s="145"/>
      <c r="M36" s="145"/>
      <c r="N36" s="145"/>
      <c r="O36" s="145"/>
      <c r="P36" s="145"/>
      <c r="Q36" s="108"/>
    </row>
    <row r="37" spans="1:17" s="68" customFormat="1">
      <c r="A37" s="348">
        <f t="shared" si="0"/>
        <v>24</v>
      </c>
      <c r="B37" s="348" t="s">
        <v>149</v>
      </c>
      <c r="C37" s="642" t="s">
        <v>1460</v>
      </c>
      <c r="D37" s="464" t="s">
        <v>77</v>
      </c>
      <c r="E37" s="582">
        <v>100</v>
      </c>
      <c r="F37" s="143"/>
      <c r="G37" s="143"/>
      <c r="H37" s="145"/>
      <c r="I37" s="145"/>
      <c r="J37" s="156"/>
      <c r="K37" s="145"/>
      <c r="L37" s="145"/>
      <c r="M37" s="145"/>
      <c r="N37" s="145"/>
      <c r="O37" s="145"/>
      <c r="P37" s="145"/>
      <c r="Q37" s="108"/>
    </row>
    <row r="38" spans="1:17" s="68" customFormat="1">
      <c r="A38" s="348">
        <f t="shared" si="0"/>
        <v>25</v>
      </c>
      <c r="B38" s="348" t="s">
        <v>149</v>
      </c>
      <c r="C38" s="642" t="s">
        <v>1461</v>
      </c>
      <c r="D38" s="464" t="s">
        <v>77</v>
      </c>
      <c r="E38" s="582">
        <v>100</v>
      </c>
      <c r="F38" s="143"/>
      <c r="G38" s="143"/>
      <c r="H38" s="143"/>
      <c r="I38" s="143"/>
      <c r="J38" s="157"/>
      <c r="K38" s="143"/>
      <c r="L38" s="143"/>
      <c r="M38" s="143"/>
      <c r="N38" s="143"/>
      <c r="O38" s="143"/>
      <c r="P38" s="143"/>
      <c r="Q38" s="108"/>
    </row>
    <row r="39" spans="1:17" s="68" customFormat="1">
      <c r="A39" s="348">
        <f t="shared" si="0"/>
        <v>26</v>
      </c>
      <c r="B39" s="348" t="s">
        <v>149</v>
      </c>
      <c r="C39" s="642" t="s">
        <v>1462</v>
      </c>
      <c r="D39" s="464" t="s">
        <v>77</v>
      </c>
      <c r="E39" s="582">
        <v>25</v>
      </c>
      <c r="F39" s="143"/>
      <c r="G39" s="143"/>
      <c r="H39" s="145"/>
      <c r="I39" s="145"/>
      <c r="J39" s="156"/>
      <c r="K39" s="145"/>
      <c r="L39" s="145"/>
      <c r="M39" s="145"/>
      <c r="N39" s="145"/>
      <c r="O39" s="145"/>
      <c r="P39" s="145"/>
      <c r="Q39" s="108"/>
    </row>
    <row r="40" spans="1:17" s="68" customFormat="1">
      <c r="A40" s="348">
        <f t="shared" si="0"/>
        <v>27</v>
      </c>
      <c r="B40" s="348" t="s">
        <v>149</v>
      </c>
      <c r="C40" s="642" t="s">
        <v>1463</v>
      </c>
      <c r="D40" s="464" t="s">
        <v>93</v>
      </c>
      <c r="E40" s="582">
        <v>200</v>
      </c>
      <c r="F40" s="143"/>
      <c r="G40" s="143"/>
      <c r="H40" s="145"/>
      <c r="I40" s="145"/>
      <c r="J40" s="156"/>
      <c r="K40" s="145"/>
      <c r="L40" s="145"/>
      <c r="M40" s="145"/>
      <c r="N40" s="145"/>
      <c r="O40" s="145"/>
      <c r="P40" s="145"/>
      <c r="Q40" s="108"/>
    </row>
    <row r="41" spans="1:17" s="68" customFormat="1">
      <c r="A41" s="348">
        <f t="shared" si="0"/>
        <v>28</v>
      </c>
      <c r="B41" s="348" t="s">
        <v>149</v>
      </c>
      <c r="C41" s="642" t="s">
        <v>1464</v>
      </c>
      <c r="D41" s="464" t="s">
        <v>93</v>
      </c>
      <c r="E41" s="582">
        <v>100</v>
      </c>
      <c r="F41" s="273"/>
      <c r="G41" s="273"/>
      <c r="H41" s="93"/>
      <c r="I41" s="93"/>
      <c r="J41" s="274"/>
      <c r="K41" s="93"/>
      <c r="L41" s="93"/>
      <c r="M41" s="93"/>
      <c r="N41" s="93"/>
      <c r="O41" s="93"/>
      <c r="P41" s="93"/>
      <c r="Q41" s="108"/>
    </row>
    <row r="42" spans="1:17" s="68" customFormat="1">
      <c r="A42" s="348">
        <f t="shared" si="0"/>
        <v>29</v>
      </c>
      <c r="B42" s="348" t="s">
        <v>149</v>
      </c>
      <c r="C42" s="642" t="s">
        <v>1465</v>
      </c>
      <c r="D42" s="464" t="s">
        <v>93</v>
      </c>
      <c r="E42" s="582">
        <v>20</v>
      </c>
      <c r="F42" s="273"/>
      <c r="G42" s="273"/>
      <c r="H42" s="93"/>
      <c r="I42" s="93"/>
      <c r="J42" s="274"/>
      <c r="K42" s="93"/>
      <c r="L42" s="93"/>
      <c r="M42" s="93"/>
      <c r="N42" s="93"/>
      <c r="O42" s="93"/>
      <c r="P42" s="93"/>
      <c r="Q42" s="108"/>
    </row>
    <row r="43" spans="1:17" s="68" customFormat="1">
      <c r="A43" s="348">
        <f t="shared" si="0"/>
        <v>30</v>
      </c>
      <c r="B43" s="348" t="s">
        <v>149</v>
      </c>
      <c r="C43" s="642" t="s">
        <v>1466</v>
      </c>
      <c r="D43" s="464" t="s">
        <v>90</v>
      </c>
      <c r="E43" s="664">
        <v>1</v>
      </c>
      <c r="F43" s="143"/>
      <c r="G43" s="143"/>
      <c r="H43" s="145"/>
      <c r="I43" s="145"/>
      <c r="J43" s="156"/>
      <c r="K43" s="145"/>
      <c r="L43" s="145"/>
      <c r="M43" s="145"/>
      <c r="N43" s="145"/>
      <c r="O43" s="145"/>
      <c r="P43" s="145"/>
      <c r="Q43" s="108"/>
    </row>
    <row r="44" spans="1:17" s="68" customFormat="1">
      <c r="A44" s="348">
        <f t="shared" si="0"/>
        <v>31</v>
      </c>
      <c r="B44" s="348" t="s">
        <v>149</v>
      </c>
      <c r="C44" s="642" t="s">
        <v>1467</v>
      </c>
      <c r="D44" s="464" t="s">
        <v>90</v>
      </c>
      <c r="E44" s="664">
        <v>1</v>
      </c>
      <c r="F44" s="277"/>
      <c r="G44" s="278"/>
      <c r="H44" s="276"/>
      <c r="I44" s="276"/>
      <c r="J44" s="279"/>
      <c r="K44" s="276"/>
      <c r="L44" s="276"/>
      <c r="M44" s="276"/>
      <c r="N44" s="276"/>
      <c r="O44" s="276"/>
      <c r="P44" s="276"/>
      <c r="Q44" s="108"/>
    </row>
    <row r="45" spans="1:17" s="68" customFormat="1">
      <c r="A45" s="348">
        <f t="shared" si="0"/>
        <v>32</v>
      </c>
      <c r="B45" s="348" t="s">
        <v>149</v>
      </c>
      <c r="C45" s="642" t="s">
        <v>1468</v>
      </c>
      <c r="D45" s="464" t="s">
        <v>90</v>
      </c>
      <c r="E45" s="664">
        <v>1</v>
      </c>
      <c r="F45" s="155"/>
      <c r="G45" s="143"/>
      <c r="H45" s="145"/>
      <c r="I45" s="145"/>
      <c r="J45" s="156"/>
      <c r="K45" s="145"/>
      <c r="L45" s="145"/>
      <c r="M45" s="145"/>
      <c r="N45" s="145"/>
      <c r="O45" s="145"/>
      <c r="P45" s="145"/>
      <c r="Q45" s="108"/>
    </row>
    <row r="46" spans="1:17" s="68" customFormat="1">
      <c r="A46" s="348">
        <f t="shared" si="0"/>
        <v>33</v>
      </c>
      <c r="B46" s="348" t="s">
        <v>149</v>
      </c>
      <c r="C46" s="642" t="s">
        <v>1469</v>
      </c>
      <c r="D46" s="464" t="s">
        <v>100</v>
      </c>
      <c r="E46" s="664">
        <v>1</v>
      </c>
      <c r="F46" s="155"/>
      <c r="G46" s="143"/>
      <c r="H46" s="145"/>
      <c r="I46" s="145"/>
      <c r="J46" s="156"/>
      <c r="K46" s="145"/>
      <c r="L46" s="145"/>
      <c r="M46" s="145"/>
      <c r="N46" s="145"/>
      <c r="O46" s="145"/>
      <c r="P46" s="145"/>
      <c r="Q46" s="108"/>
    </row>
    <row r="47" spans="1:17" s="68" customFormat="1">
      <c r="A47" s="380">
        <f t="shared" si="0"/>
        <v>34</v>
      </c>
      <c r="B47" s="380" t="s">
        <v>149</v>
      </c>
      <c r="C47" s="637" t="s">
        <v>1470</v>
      </c>
      <c r="D47" s="492" t="s">
        <v>100</v>
      </c>
      <c r="E47" s="665">
        <v>1</v>
      </c>
      <c r="F47" s="158"/>
      <c r="G47" s="159"/>
      <c r="H47" s="150"/>
      <c r="I47" s="150"/>
      <c r="J47" s="160"/>
      <c r="K47" s="150"/>
      <c r="L47" s="150"/>
      <c r="M47" s="150"/>
      <c r="N47" s="150"/>
      <c r="O47" s="150"/>
      <c r="P47" s="150"/>
      <c r="Q47" s="108"/>
    </row>
    <row r="48" spans="1:17" s="68" customFormat="1">
      <c r="A48" s="370"/>
      <c r="B48" s="370"/>
      <c r="C48" s="502" t="s">
        <v>1471</v>
      </c>
      <c r="D48" s="370"/>
      <c r="E48" s="504"/>
      <c r="F48" s="283"/>
      <c r="G48" s="222"/>
      <c r="H48" s="135"/>
      <c r="I48" s="135"/>
      <c r="J48" s="223"/>
      <c r="K48" s="135"/>
      <c r="L48" s="135"/>
      <c r="M48" s="135"/>
      <c r="N48" s="135"/>
      <c r="O48" s="135"/>
      <c r="P48" s="135"/>
      <c r="Q48" s="108"/>
    </row>
    <row r="49" spans="1:17" s="68" customFormat="1">
      <c r="A49" s="370"/>
      <c r="B49" s="370"/>
      <c r="C49" s="659" t="s">
        <v>1472</v>
      </c>
      <c r="D49" s="660"/>
      <c r="E49" s="666"/>
      <c r="F49" s="283"/>
      <c r="G49" s="222"/>
      <c r="H49" s="135"/>
      <c r="I49" s="135"/>
      <c r="J49" s="223"/>
      <c r="K49" s="135"/>
      <c r="L49" s="135"/>
      <c r="M49" s="135"/>
      <c r="N49" s="135"/>
      <c r="O49" s="135"/>
      <c r="P49" s="135"/>
      <c r="Q49" s="108"/>
    </row>
    <row r="50" spans="1:17" s="68" customFormat="1">
      <c r="A50" s="385">
        <f>A47+1</f>
        <v>35</v>
      </c>
      <c r="B50" s="385" t="s">
        <v>149</v>
      </c>
      <c r="C50" s="641" t="s">
        <v>1437</v>
      </c>
      <c r="D50" s="387" t="s">
        <v>77</v>
      </c>
      <c r="E50" s="662">
        <v>2000</v>
      </c>
      <c r="F50" s="162"/>
      <c r="G50" s="161"/>
      <c r="H50" s="146"/>
      <c r="I50" s="146"/>
      <c r="J50" s="163"/>
      <c r="K50" s="146"/>
      <c r="L50" s="146"/>
      <c r="M50" s="146"/>
      <c r="N50" s="146"/>
      <c r="O50" s="146"/>
      <c r="P50" s="146"/>
      <c r="Q50" s="108"/>
    </row>
    <row r="51" spans="1:17" s="68" customFormat="1" ht="24.75">
      <c r="A51" s="348">
        <f>A50+1</f>
        <v>36</v>
      </c>
      <c r="B51" s="348" t="s">
        <v>149</v>
      </c>
      <c r="C51" s="642" t="s">
        <v>1441</v>
      </c>
      <c r="D51" s="464" t="s">
        <v>93</v>
      </c>
      <c r="E51" s="663">
        <v>1</v>
      </c>
      <c r="F51" s="155"/>
      <c r="G51" s="143"/>
      <c r="H51" s="145"/>
      <c r="I51" s="145"/>
      <c r="J51" s="156"/>
      <c r="K51" s="145"/>
      <c r="L51" s="145"/>
      <c r="M51" s="145"/>
      <c r="N51" s="145"/>
      <c r="O51" s="145"/>
      <c r="P51" s="145"/>
      <c r="Q51" s="108"/>
    </row>
    <row r="52" spans="1:17" s="68" customFormat="1" ht="15" customHeight="1">
      <c r="A52" s="348">
        <f t="shared" ref="A52:A64" si="1">A51+1</f>
        <v>37</v>
      </c>
      <c r="B52" s="348" t="s">
        <v>149</v>
      </c>
      <c r="C52" s="642" t="s">
        <v>1443</v>
      </c>
      <c r="D52" s="378" t="s">
        <v>93</v>
      </c>
      <c r="E52" s="664">
        <v>2</v>
      </c>
      <c r="F52" s="155"/>
      <c r="G52" s="143"/>
      <c r="H52" s="145"/>
      <c r="I52" s="145"/>
      <c r="J52" s="156"/>
      <c r="K52" s="145"/>
      <c r="L52" s="145"/>
      <c r="M52" s="145"/>
      <c r="N52" s="145"/>
      <c r="O52" s="145"/>
      <c r="P52" s="145"/>
      <c r="Q52" s="108"/>
    </row>
    <row r="53" spans="1:17" s="68" customFormat="1">
      <c r="A53" s="348">
        <f t="shared" si="1"/>
        <v>38</v>
      </c>
      <c r="B53" s="348" t="s">
        <v>149</v>
      </c>
      <c r="C53" s="661" t="s">
        <v>1452</v>
      </c>
      <c r="D53" s="464" t="s">
        <v>93</v>
      </c>
      <c r="E53" s="582">
        <v>23</v>
      </c>
      <c r="F53" s="155"/>
      <c r="G53" s="143"/>
      <c r="H53" s="145"/>
      <c r="I53" s="145"/>
      <c r="J53" s="156"/>
      <c r="K53" s="145"/>
      <c r="L53" s="145"/>
      <c r="M53" s="145"/>
      <c r="N53" s="145"/>
      <c r="O53" s="145"/>
      <c r="P53" s="145"/>
      <c r="Q53" s="108"/>
    </row>
    <row r="54" spans="1:17" s="68" customFormat="1">
      <c r="A54" s="348">
        <f t="shared" si="1"/>
        <v>39</v>
      </c>
      <c r="B54" s="348" t="s">
        <v>149</v>
      </c>
      <c r="C54" s="642" t="s">
        <v>1473</v>
      </c>
      <c r="D54" s="378" t="s">
        <v>90</v>
      </c>
      <c r="E54" s="582">
        <v>23</v>
      </c>
      <c r="F54" s="155"/>
      <c r="G54" s="143"/>
      <c r="H54" s="145"/>
      <c r="I54" s="145"/>
      <c r="J54" s="156"/>
      <c r="K54" s="145"/>
      <c r="L54" s="145"/>
      <c r="M54" s="145"/>
      <c r="N54" s="145"/>
      <c r="O54" s="145"/>
      <c r="P54" s="145"/>
      <c r="Q54" s="108"/>
    </row>
    <row r="55" spans="1:17" s="68" customFormat="1">
      <c r="A55" s="348">
        <f t="shared" si="1"/>
        <v>40</v>
      </c>
      <c r="B55" s="348" t="s">
        <v>149</v>
      </c>
      <c r="C55" s="661" t="s">
        <v>1454</v>
      </c>
      <c r="D55" s="464" t="s">
        <v>93</v>
      </c>
      <c r="E55" s="582">
        <v>23</v>
      </c>
      <c r="F55" s="155"/>
      <c r="G55" s="143"/>
      <c r="H55" s="145"/>
      <c r="I55" s="145"/>
      <c r="J55" s="156"/>
      <c r="K55" s="145"/>
      <c r="L55" s="145"/>
      <c r="M55" s="145"/>
      <c r="N55" s="145"/>
      <c r="O55" s="145"/>
      <c r="P55" s="145"/>
      <c r="Q55" s="108"/>
    </row>
    <row r="56" spans="1:17" s="68" customFormat="1">
      <c r="A56" s="348">
        <f t="shared" si="1"/>
        <v>41</v>
      </c>
      <c r="B56" s="348" t="s">
        <v>149</v>
      </c>
      <c r="C56" s="661" t="s">
        <v>1474</v>
      </c>
      <c r="D56" s="464" t="s">
        <v>77</v>
      </c>
      <c r="E56" s="582">
        <v>50</v>
      </c>
      <c r="F56" s="155"/>
      <c r="G56" s="143"/>
      <c r="H56" s="145"/>
      <c r="I56" s="145"/>
      <c r="J56" s="156"/>
      <c r="K56" s="145"/>
      <c r="L56" s="145"/>
      <c r="M56" s="145"/>
      <c r="N56" s="145"/>
      <c r="O56" s="145"/>
      <c r="P56" s="145"/>
      <c r="Q56" s="108"/>
    </row>
    <row r="57" spans="1:17" s="68" customFormat="1">
      <c r="A57" s="348">
        <f t="shared" si="1"/>
        <v>42</v>
      </c>
      <c r="B57" s="348" t="s">
        <v>149</v>
      </c>
      <c r="C57" s="661" t="s">
        <v>1475</v>
      </c>
      <c r="D57" s="464" t="s">
        <v>77</v>
      </c>
      <c r="E57" s="582">
        <v>50</v>
      </c>
      <c r="F57" s="155"/>
      <c r="G57" s="143"/>
      <c r="H57" s="145"/>
      <c r="I57" s="145"/>
      <c r="J57" s="156"/>
      <c r="K57" s="145"/>
      <c r="L57" s="145"/>
      <c r="M57" s="145"/>
      <c r="N57" s="145"/>
      <c r="O57" s="145"/>
      <c r="P57" s="145"/>
      <c r="Q57" s="108"/>
    </row>
    <row r="58" spans="1:17" s="68" customFormat="1">
      <c r="A58" s="348">
        <f t="shared" si="1"/>
        <v>43</v>
      </c>
      <c r="B58" s="348" t="s">
        <v>149</v>
      </c>
      <c r="C58" s="642" t="s">
        <v>1463</v>
      </c>
      <c r="D58" s="464" t="s">
        <v>93</v>
      </c>
      <c r="E58" s="582">
        <v>23</v>
      </c>
      <c r="F58" s="155"/>
      <c r="G58" s="143"/>
      <c r="H58" s="145"/>
      <c r="I58" s="145"/>
      <c r="J58" s="156"/>
      <c r="K58" s="145"/>
      <c r="L58" s="145"/>
      <c r="M58" s="145"/>
      <c r="N58" s="145"/>
      <c r="O58" s="145"/>
      <c r="P58" s="145"/>
      <c r="Q58" s="108"/>
    </row>
    <row r="59" spans="1:17" s="68" customFormat="1">
      <c r="A59" s="348">
        <f t="shared" si="1"/>
        <v>44</v>
      </c>
      <c r="B59" s="348" t="s">
        <v>149</v>
      </c>
      <c r="C59" s="642" t="s">
        <v>1464</v>
      </c>
      <c r="D59" s="464" t="s">
        <v>93</v>
      </c>
      <c r="E59" s="582">
        <v>23</v>
      </c>
      <c r="F59" s="143"/>
      <c r="G59" s="143"/>
      <c r="H59" s="145"/>
      <c r="I59" s="145"/>
      <c r="J59" s="156"/>
      <c r="K59" s="145"/>
      <c r="L59" s="145"/>
      <c r="M59" s="145"/>
      <c r="N59" s="145"/>
      <c r="O59" s="145"/>
      <c r="P59" s="145"/>
      <c r="Q59" s="108"/>
    </row>
    <row r="60" spans="1:17" s="68" customFormat="1">
      <c r="A60" s="348">
        <f t="shared" si="1"/>
        <v>45</v>
      </c>
      <c r="B60" s="348" t="s">
        <v>149</v>
      </c>
      <c r="C60" s="642" t="s">
        <v>1465</v>
      </c>
      <c r="D60" s="464" t="s">
        <v>93</v>
      </c>
      <c r="E60" s="582">
        <v>5</v>
      </c>
      <c r="F60" s="154"/>
      <c r="G60" s="143"/>
      <c r="H60" s="145"/>
      <c r="I60" s="145"/>
      <c r="J60" s="156"/>
      <c r="K60" s="145"/>
      <c r="L60" s="145"/>
      <c r="M60" s="145"/>
      <c r="N60" s="145"/>
      <c r="O60" s="145"/>
      <c r="P60" s="145"/>
      <c r="Q60" s="108"/>
    </row>
    <row r="61" spans="1:17" s="68" customFormat="1">
      <c r="A61" s="348">
        <f t="shared" si="1"/>
        <v>46</v>
      </c>
      <c r="B61" s="348" t="s">
        <v>149</v>
      </c>
      <c r="C61" s="642" t="s">
        <v>1467</v>
      </c>
      <c r="D61" s="464" t="s">
        <v>90</v>
      </c>
      <c r="E61" s="664">
        <v>1</v>
      </c>
      <c r="F61" s="154"/>
      <c r="G61" s="143"/>
      <c r="H61" s="145"/>
      <c r="I61" s="145"/>
      <c r="J61" s="156"/>
      <c r="K61" s="145"/>
      <c r="L61" s="145"/>
      <c r="M61" s="145"/>
      <c r="N61" s="145"/>
      <c r="O61" s="145"/>
      <c r="P61" s="145"/>
      <c r="Q61" s="108"/>
    </row>
    <row r="62" spans="1:17" s="68" customFormat="1">
      <c r="A62" s="348">
        <f t="shared" si="1"/>
        <v>47</v>
      </c>
      <c r="B62" s="348" t="s">
        <v>149</v>
      </c>
      <c r="C62" s="642" t="s">
        <v>1468</v>
      </c>
      <c r="D62" s="464" t="s">
        <v>90</v>
      </c>
      <c r="E62" s="664">
        <v>1</v>
      </c>
      <c r="F62" s="154"/>
      <c r="G62" s="143"/>
      <c r="H62" s="145"/>
      <c r="I62" s="145"/>
      <c r="J62" s="156"/>
      <c r="K62" s="145"/>
      <c r="L62" s="145"/>
      <c r="M62" s="145"/>
      <c r="N62" s="145"/>
      <c r="O62" s="145"/>
      <c r="P62" s="145"/>
      <c r="Q62" s="108"/>
    </row>
    <row r="63" spans="1:17" s="68" customFormat="1">
      <c r="A63" s="348">
        <f t="shared" si="1"/>
        <v>48</v>
      </c>
      <c r="B63" s="348" t="s">
        <v>149</v>
      </c>
      <c r="C63" s="661" t="s">
        <v>1469</v>
      </c>
      <c r="D63" s="464" t="s">
        <v>100</v>
      </c>
      <c r="E63" s="664">
        <v>1</v>
      </c>
      <c r="F63" s="280"/>
      <c r="G63" s="278"/>
      <c r="H63" s="276"/>
      <c r="I63" s="276"/>
      <c r="J63" s="279"/>
      <c r="K63" s="276"/>
      <c r="L63" s="276"/>
      <c r="M63" s="276"/>
      <c r="N63" s="276"/>
      <c r="O63" s="276"/>
      <c r="P63" s="276"/>
      <c r="Q63" s="108"/>
    </row>
    <row r="64" spans="1:17" s="68" customFormat="1">
      <c r="A64" s="348">
        <f t="shared" si="1"/>
        <v>49</v>
      </c>
      <c r="B64" s="348" t="s">
        <v>149</v>
      </c>
      <c r="C64" s="661" t="s">
        <v>1470</v>
      </c>
      <c r="D64" s="464" t="s">
        <v>100</v>
      </c>
      <c r="E64" s="664">
        <v>1</v>
      </c>
      <c r="F64" s="155"/>
      <c r="G64" s="143"/>
      <c r="H64" s="145"/>
      <c r="I64" s="145"/>
      <c r="J64" s="156"/>
      <c r="K64" s="145"/>
      <c r="L64" s="145"/>
      <c r="M64" s="145"/>
      <c r="N64" s="145"/>
      <c r="O64" s="145"/>
      <c r="P64" s="145"/>
      <c r="Q64" s="108"/>
    </row>
    <row r="65" spans="1:17">
      <c r="A65" s="890" t="s">
        <v>177</v>
      </c>
      <c r="B65" s="890"/>
      <c r="C65" s="890"/>
      <c r="D65" s="890"/>
      <c r="E65" s="890"/>
      <c r="F65" s="890"/>
      <c r="G65" s="890"/>
      <c r="H65" s="890"/>
      <c r="I65" s="890"/>
      <c r="J65" s="890"/>
      <c r="K65" s="890"/>
      <c r="L65" s="201">
        <f>SUM(L14:L64)</f>
        <v>0</v>
      </c>
      <c r="M65" s="201">
        <f t="shared" ref="M65:P65" si="2">SUM(M14:M64)</f>
        <v>0</v>
      </c>
      <c r="N65" s="201">
        <f t="shared" si="2"/>
        <v>0</v>
      </c>
      <c r="O65" s="201">
        <f t="shared" si="2"/>
        <v>0</v>
      </c>
      <c r="P65" s="201">
        <f t="shared" si="2"/>
        <v>0</v>
      </c>
    </row>
    <row r="66" spans="1:17" s="50" customFormat="1" collapsed="1">
      <c r="A66" s="885" t="s">
        <v>36</v>
      </c>
      <c r="B66" s="885"/>
      <c r="C66" s="1"/>
      <c r="D66" s="1"/>
      <c r="E66" s="98"/>
      <c r="F66" s="1"/>
      <c r="G66" s="1"/>
      <c r="H66" s="1"/>
      <c r="I66" s="1"/>
      <c r="J66" s="1"/>
      <c r="K66" s="1"/>
      <c r="L66" s="1"/>
      <c r="M66" s="1"/>
      <c r="N66" s="1"/>
      <c r="O66" s="1"/>
      <c r="P66" s="1"/>
      <c r="Q66" s="316"/>
    </row>
    <row r="67" spans="1:17" s="50" customFormat="1">
      <c r="A67" s="886" t="s">
        <v>56</v>
      </c>
      <c r="B67" s="886"/>
      <c r="C67" s="886"/>
      <c r="D67" s="886"/>
      <c r="E67" s="886"/>
      <c r="F67" s="886"/>
      <c r="G67" s="886"/>
      <c r="H67" s="886"/>
      <c r="I67" s="886"/>
      <c r="J67" s="886"/>
      <c r="K67" s="886"/>
      <c r="L67" s="886"/>
      <c r="M67" s="886"/>
      <c r="N67" s="886"/>
      <c r="O67" s="886"/>
      <c r="P67" s="886"/>
      <c r="Q67" s="316"/>
    </row>
    <row r="68" spans="1:17" s="50" customFormat="1" collapsed="1">
      <c r="A68" s="910"/>
      <c r="B68" s="910"/>
      <c r="E68" s="103"/>
      <c r="L68" s="50">
        <f>Koptame!A127</f>
        <v>0</v>
      </c>
      <c r="Q68" s="316"/>
    </row>
    <row r="69" spans="1:17">
      <c r="A69" s="906" t="s">
        <v>7</v>
      </c>
      <c r="B69" s="906"/>
      <c r="C69" s="307"/>
      <c r="D69" s="50"/>
      <c r="E69" s="103"/>
      <c r="F69" s="50"/>
      <c r="G69" s="50"/>
      <c r="H69" s="50"/>
      <c r="I69" s="50"/>
      <c r="J69" s="50"/>
      <c r="K69" s="50"/>
      <c r="L69" s="307"/>
      <c r="M69" s="81">
        <f>Koptame!B128</f>
        <v>0</v>
      </c>
      <c r="N69" s="81"/>
      <c r="O69" s="50"/>
      <c r="P69" s="50"/>
    </row>
  </sheetData>
  <mergeCells count="24">
    <mergeCell ref="F10:K10"/>
    <mergeCell ref="L10:P10"/>
    <mergeCell ref="A10:A11"/>
    <mergeCell ref="B10:B11"/>
    <mergeCell ref="C10:C11"/>
    <mergeCell ref="D10:D11"/>
    <mergeCell ref="E10:E11"/>
    <mergeCell ref="A1:P1"/>
    <mergeCell ref="A3:B3"/>
    <mergeCell ref="C3:P3"/>
    <mergeCell ref="A4:B4"/>
    <mergeCell ref="C4:P4"/>
    <mergeCell ref="A2:P2"/>
    <mergeCell ref="A5:B5"/>
    <mergeCell ref="C5:P5"/>
    <mergeCell ref="A6:B6"/>
    <mergeCell ref="C6:P6"/>
    <mergeCell ref="A7:B7"/>
    <mergeCell ref="C7:P7"/>
    <mergeCell ref="A68:B68"/>
    <mergeCell ref="A69:B69"/>
    <mergeCell ref="A65:K65"/>
    <mergeCell ref="A66:B66"/>
    <mergeCell ref="A67:P67"/>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P39"/>
  <sheetViews>
    <sheetView showZeros="0" zoomScale="75" zoomScaleNormal="75" zoomScaleSheetLayoutView="90" workbookViewId="0">
      <selection activeCell="A2" sqref="A2:P2"/>
    </sheetView>
  </sheetViews>
  <sheetFormatPr defaultColWidth="9.140625" defaultRowHeight="15"/>
  <cols>
    <col min="1" max="1" width="8.85546875" style="60" customWidth="1"/>
    <col min="2" max="2" width="11.7109375" style="60" customWidth="1"/>
    <col min="3" max="3" width="45.5703125" style="60" customWidth="1"/>
    <col min="4" max="11" width="8.7109375" style="60" customWidth="1"/>
    <col min="12" max="16" width="12.7109375" style="60" customWidth="1"/>
    <col min="17" max="16384" width="9.140625" style="60"/>
  </cols>
  <sheetData>
    <row r="1" spans="1:16" s="59" customFormat="1" ht="15.75">
      <c r="A1" s="909" t="s">
        <v>70</v>
      </c>
      <c r="B1" s="909"/>
      <c r="C1" s="909"/>
      <c r="D1" s="909"/>
      <c r="E1" s="909"/>
      <c r="F1" s="909"/>
      <c r="G1" s="909"/>
      <c r="H1" s="909"/>
      <c r="I1" s="909"/>
      <c r="J1" s="909"/>
      <c r="K1" s="909"/>
      <c r="L1" s="909"/>
      <c r="M1" s="909"/>
      <c r="N1" s="909"/>
      <c r="O1" s="909"/>
      <c r="P1" s="909"/>
    </row>
    <row r="2" spans="1:16" s="59" customFormat="1" ht="15.75">
      <c r="A2" s="899" t="s">
        <v>696</v>
      </c>
      <c r="B2" s="899"/>
      <c r="C2" s="899"/>
      <c r="D2" s="899"/>
      <c r="E2" s="899"/>
      <c r="F2" s="899"/>
      <c r="G2" s="899"/>
      <c r="H2" s="899"/>
      <c r="I2" s="899"/>
      <c r="J2" s="899"/>
      <c r="K2" s="899"/>
      <c r="L2" s="899"/>
      <c r="M2" s="899"/>
      <c r="N2" s="899"/>
      <c r="O2" s="899"/>
      <c r="P2" s="899"/>
    </row>
    <row r="3" spans="1:16" s="59" customFormat="1" ht="15.75">
      <c r="A3" s="876" t="s">
        <v>10</v>
      </c>
      <c r="B3" s="876"/>
      <c r="C3" s="859" t="s">
        <v>117</v>
      </c>
      <c r="D3" s="859"/>
      <c r="E3" s="859"/>
      <c r="F3" s="859"/>
      <c r="G3" s="859"/>
      <c r="H3" s="859"/>
      <c r="I3" s="859"/>
      <c r="J3" s="859"/>
      <c r="K3" s="859"/>
      <c r="L3" s="859"/>
      <c r="M3" s="859"/>
      <c r="N3" s="859"/>
      <c r="O3" s="859"/>
      <c r="P3" s="859"/>
    </row>
    <row r="4" spans="1:16" s="59" customFormat="1" ht="15.75">
      <c r="A4" s="876" t="s">
        <v>11</v>
      </c>
      <c r="B4" s="876"/>
      <c r="C4" s="859" t="s">
        <v>118</v>
      </c>
      <c r="D4" s="859"/>
      <c r="E4" s="859"/>
      <c r="F4" s="859"/>
      <c r="G4" s="859"/>
      <c r="H4" s="859"/>
      <c r="I4" s="859"/>
      <c r="J4" s="859"/>
      <c r="K4" s="859"/>
      <c r="L4" s="859"/>
      <c r="M4" s="859"/>
      <c r="N4" s="859"/>
      <c r="O4" s="859"/>
      <c r="P4" s="859"/>
    </row>
    <row r="5" spans="1:16" s="59" customFormat="1" ht="15.75">
      <c r="A5" s="876" t="s">
        <v>12</v>
      </c>
      <c r="B5" s="876"/>
      <c r="C5" s="859" t="s">
        <v>50</v>
      </c>
      <c r="D5" s="859"/>
      <c r="E5" s="859"/>
      <c r="F5" s="859"/>
      <c r="G5" s="859"/>
      <c r="H5" s="859"/>
      <c r="I5" s="859"/>
      <c r="J5" s="859"/>
      <c r="K5" s="859"/>
      <c r="L5" s="859"/>
      <c r="M5" s="859"/>
      <c r="N5" s="859"/>
      <c r="O5" s="859"/>
      <c r="P5" s="859"/>
    </row>
    <row r="6" spans="1:16" s="59" customFormat="1" ht="15.75">
      <c r="A6" s="876" t="s">
        <v>30</v>
      </c>
      <c r="B6" s="876"/>
      <c r="C6" s="874"/>
      <c r="D6" s="874"/>
      <c r="E6" s="874"/>
      <c r="F6" s="874"/>
      <c r="G6" s="874"/>
      <c r="H6" s="874"/>
      <c r="I6" s="874"/>
      <c r="J6" s="874"/>
      <c r="K6" s="874"/>
      <c r="L6" s="874"/>
      <c r="M6" s="874"/>
      <c r="N6" s="874"/>
      <c r="O6" s="874"/>
      <c r="P6" s="874"/>
    </row>
    <row r="7" spans="1:16" s="59" customFormat="1" ht="15.75">
      <c r="A7" s="876" t="s">
        <v>54</v>
      </c>
      <c r="B7" s="876"/>
      <c r="C7" s="873"/>
      <c r="D7" s="873"/>
      <c r="E7" s="873"/>
      <c r="F7" s="873"/>
      <c r="G7" s="873"/>
      <c r="H7" s="873"/>
      <c r="I7" s="873"/>
      <c r="J7" s="873"/>
      <c r="K7" s="873"/>
      <c r="L7" s="873"/>
      <c r="M7" s="873"/>
      <c r="N7" s="873"/>
      <c r="O7" s="873"/>
      <c r="P7" s="873"/>
    </row>
    <row r="8" spans="1:16" s="59" customFormat="1" ht="15.75">
      <c r="A8" s="73"/>
      <c r="B8" s="73"/>
      <c r="C8" s="73"/>
      <c r="D8" s="73"/>
      <c r="E8" s="73"/>
      <c r="F8" s="73"/>
      <c r="G8" s="73"/>
      <c r="H8" s="73"/>
      <c r="I8" s="73"/>
      <c r="J8" s="73"/>
      <c r="K8" s="73"/>
      <c r="L8" s="66"/>
      <c r="M8" s="66"/>
      <c r="N8" s="74"/>
      <c r="O8" s="63" t="s">
        <v>52</v>
      </c>
      <c r="P8" s="75">
        <f>P31</f>
        <v>0</v>
      </c>
    </row>
    <row r="9" spans="1:16" s="59" customFormat="1" ht="15.75">
      <c r="A9" s="315"/>
      <c r="B9" s="315"/>
      <c r="C9" s="315"/>
      <c r="D9" s="315"/>
      <c r="E9" s="315"/>
      <c r="F9" s="315"/>
      <c r="G9" s="315"/>
      <c r="H9" s="315"/>
      <c r="I9" s="315"/>
      <c r="J9" s="315"/>
      <c r="K9" s="315"/>
      <c r="L9" s="315"/>
      <c r="M9" s="315"/>
      <c r="N9" s="315"/>
      <c r="O9" s="315"/>
      <c r="P9" s="315"/>
    </row>
    <row r="10" spans="1:16" ht="14.25" customHeight="1">
      <c r="A10" s="893" t="s">
        <v>14</v>
      </c>
      <c r="B10" s="894" t="s">
        <v>21</v>
      </c>
      <c r="C10" s="896" t="s">
        <v>22</v>
      </c>
      <c r="D10" s="897" t="s">
        <v>23</v>
      </c>
      <c r="E10" s="893" t="s">
        <v>24</v>
      </c>
      <c r="F10" s="892" t="s">
        <v>25</v>
      </c>
      <c r="G10" s="892"/>
      <c r="H10" s="892"/>
      <c r="I10" s="892"/>
      <c r="J10" s="892"/>
      <c r="K10" s="892"/>
      <c r="L10" s="892" t="s">
        <v>26</v>
      </c>
      <c r="M10" s="892"/>
      <c r="N10" s="892"/>
      <c r="O10" s="892"/>
      <c r="P10" s="892"/>
    </row>
    <row r="11" spans="1:16" ht="73.5" customHeight="1">
      <c r="A11" s="893"/>
      <c r="B11" s="895"/>
      <c r="C11" s="896"/>
      <c r="D11" s="897"/>
      <c r="E11" s="893"/>
      <c r="F11" s="309" t="s">
        <v>27</v>
      </c>
      <c r="G11" s="309" t="s">
        <v>37</v>
      </c>
      <c r="H11" s="309" t="s">
        <v>38</v>
      </c>
      <c r="I11" s="309" t="s">
        <v>39</v>
      </c>
      <c r="J11" s="309" t="s">
        <v>40</v>
      </c>
      <c r="K11" s="309" t="s">
        <v>41</v>
      </c>
      <c r="L11" s="309" t="s">
        <v>18</v>
      </c>
      <c r="M11" s="309" t="s">
        <v>38</v>
      </c>
      <c r="N11" s="309" t="s">
        <v>39</v>
      </c>
      <c r="O11" s="309" t="s">
        <v>40</v>
      </c>
      <c r="P11" s="309" t="s">
        <v>42</v>
      </c>
    </row>
    <row r="12" spans="1:16">
      <c r="A12" s="115">
        <v>1</v>
      </c>
      <c r="B12" s="115">
        <v>2</v>
      </c>
      <c r="C12" s="115">
        <v>3</v>
      </c>
      <c r="D12" s="115">
        <v>4</v>
      </c>
      <c r="E12" s="115">
        <v>5</v>
      </c>
      <c r="F12" s="115">
        <v>6</v>
      </c>
      <c r="G12" s="115">
        <v>7</v>
      </c>
      <c r="H12" s="115">
        <v>8</v>
      </c>
      <c r="I12" s="115">
        <v>9</v>
      </c>
      <c r="J12" s="115">
        <v>10</v>
      </c>
      <c r="K12" s="115">
        <v>11</v>
      </c>
      <c r="L12" s="115">
        <v>12</v>
      </c>
      <c r="M12" s="115">
        <v>13</v>
      </c>
      <c r="N12" s="115">
        <v>14</v>
      </c>
      <c r="O12" s="115">
        <v>15</v>
      </c>
      <c r="P12" s="115">
        <v>16</v>
      </c>
    </row>
    <row r="13" spans="1:16" s="68" customFormat="1">
      <c r="A13" s="370"/>
      <c r="B13" s="370"/>
      <c r="C13" s="502" t="s">
        <v>696</v>
      </c>
      <c r="D13" s="370"/>
      <c r="E13" s="370"/>
      <c r="F13" s="135"/>
      <c r="G13" s="135"/>
      <c r="H13" s="152"/>
      <c r="I13" s="152"/>
      <c r="J13" s="152"/>
      <c r="K13" s="135"/>
      <c r="L13" s="135"/>
      <c r="M13" s="135"/>
      <c r="N13" s="135"/>
      <c r="O13" s="135"/>
      <c r="P13" s="135"/>
    </row>
    <row r="14" spans="1:16" s="68" customFormat="1">
      <c r="A14" s="667">
        <v>1</v>
      </c>
      <c r="B14" s="667" t="s">
        <v>149</v>
      </c>
      <c r="C14" s="668" t="s">
        <v>1476</v>
      </c>
      <c r="D14" s="669" t="s">
        <v>93</v>
      </c>
      <c r="E14" s="681">
        <v>1</v>
      </c>
      <c r="F14" s="146"/>
      <c r="G14" s="146"/>
      <c r="H14" s="149"/>
      <c r="I14" s="149"/>
      <c r="J14" s="149"/>
      <c r="K14" s="146"/>
      <c r="L14" s="146"/>
      <c r="M14" s="146"/>
      <c r="N14" s="146"/>
      <c r="O14" s="146"/>
      <c r="P14" s="146"/>
    </row>
    <row r="15" spans="1:16" s="68" customFormat="1">
      <c r="A15" s="670">
        <f>A14+1</f>
        <v>2</v>
      </c>
      <c r="B15" s="670" t="s">
        <v>149</v>
      </c>
      <c r="C15" s="671" t="s">
        <v>1477</v>
      </c>
      <c r="D15" s="672" t="s">
        <v>90</v>
      </c>
      <c r="E15" s="681">
        <v>1</v>
      </c>
      <c r="F15" s="145"/>
      <c r="G15" s="145"/>
      <c r="H15" s="148"/>
      <c r="I15" s="148"/>
      <c r="J15" s="148"/>
      <c r="K15" s="145"/>
      <c r="L15" s="145"/>
      <c r="M15" s="145"/>
      <c r="N15" s="145"/>
      <c r="O15" s="145"/>
      <c r="P15" s="145"/>
    </row>
    <row r="16" spans="1:16" s="68" customFormat="1">
      <c r="A16" s="670">
        <f t="shared" ref="A16:A30" si="0">A15+1</f>
        <v>3</v>
      </c>
      <c r="B16" s="670" t="s">
        <v>149</v>
      </c>
      <c r="C16" s="673" t="s">
        <v>1478</v>
      </c>
      <c r="D16" s="674" t="s">
        <v>93</v>
      </c>
      <c r="E16" s="682">
        <v>1</v>
      </c>
      <c r="F16" s="145"/>
      <c r="G16" s="145"/>
      <c r="H16" s="148"/>
      <c r="I16" s="148"/>
      <c r="J16" s="148"/>
      <c r="K16" s="145"/>
      <c r="L16" s="145"/>
      <c r="M16" s="145"/>
      <c r="N16" s="145"/>
      <c r="O16" s="145"/>
      <c r="P16" s="145"/>
    </row>
    <row r="17" spans="1:16" s="68" customFormat="1">
      <c r="A17" s="670">
        <f t="shared" si="0"/>
        <v>4</v>
      </c>
      <c r="B17" s="670" t="s">
        <v>149</v>
      </c>
      <c r="C17" s="673" t="s">
        <v>1479</v>
      </c>
      <c r="D17" s="674" t="s">
        <v>93</v>
      </c>
      <c r="E17" s="682">
        <v>2</v>
      </c>
      <c r="F17" s="145"/>
      <c r="G17" s="145"/>
      <c r="H17" s="148"/>
      <c r="I17" s="148"/>
      <c r="J17" s="148"/>
      <c r="K17" s="145"/>
      <c r="L17" s="145"/>
      <c r="M17" s="145"/>
      <c r="N17" s="145"/>
      <c r="O17" s="145"/>
      <c r="P17" s="145"/>
    </row>
    <row r="18" spans="1:16" s="68" customFormat="1">
      <c r="A18" s="670">
        <f t="shared" si="0"/>
        <v>5</v>
      </c>
      <c r="B18" s="670" t="s">
        <v>149</v>
      </c>
      <c r="C18" s="671" t="s">
        <v>1480</v>
      </c>
      <c r="D18" s="672" t="s">
        <v>93</v>
      </c>
      <c r="E18" s="681">
        <v>1</v>
      </c>
      <c r="F18" s="145"/>
      <c r="G18" s="145"/>
      <c r="H18" s="148"/>
      <c r="I18" s="148"/>
      <c r="J18" s="148"/>
      <c r="K18" s="145"/>
      <c r="L18" s="145"/>
      <c r="M18" s="145"/>
      <c r="N18" s="145"/>
      <c r="O18" s="145"/>
      <c r="P18" s="145"/>
    </row>
    <row r="19" spans="1:16" s="68" customFormat="1">
      <c r="A19" s="670">
        <f t="shared" si="0"/>
        <v>6</v>
      </c>
      <c r="B19" s="670" t="s">
        <v>149</v>
      </c>
      <c r="C19" s="671" t="s">
        <v>1481</v>
      </c>
      <c r="D19" s="672" t="s">
        <v>93</v>
      </c>
      <c r="E19" s="681">
        <v>9</v>
      </c>
      <c r="F19" s="145"/>
      <c r="G19" s="145"/>
      <c r="H19" s="148"/>
      <c r="I19" s="148"/>
      <c r="J19" s="148"/>
      <c r="K19" s="145"/>
      <c r="L19" s="145"/>
      <c r="M19" s="145"/>
      <c r="N19" s="145"/>
      <c r="O19" s="145"/>
      <c r="P19" s="145"/>
    </row>
    <row r="20" spans="1:16" s="68" customFormat="1">
      <c r="A20" s="670">
        <f t="shared" si="0"/>
        <v>7</v>
      </c>
      <c r="B20" s="670" t="s">
        <v>149</v>
      </c>
      <c r="C20" s="671" t="s">
        <v>1482</v>
      </c>
      <c r="D20" s="672" t="s">
        <v>93</v>
      </c>
      <c r="E20" s="681">
        <v>4</v>
      </c>
      <c r="F20" s="145"/>
      <c r="G20" s="145"/>
      <c r="H20" s="148"/>
      <c r="I20" s="148"/>
      <c r="J20" s="148"/>
      <c r="K20" s="145"/>
      <c r="L20" s="145"/>
      <c r="M20" s="145"/>
      <c r="N20" s="145"/>
      <c r="O20" s="145"/>
      <c r="P20" s="145"/>
    </row>
    <row r="21" spans="1:16" s="68" customFormat="1">
      <c r="A21" s="670">
        <f t="shared" si="0"/>
        <v>8</v>
      </c>
      <c r="B21" s="670" t="s">
        <v>149</v>
      </c>
      <c r="C21" s="673" t="s">
        <v>1483</v>
      </c>
      <c r="D21" s="674" t="s">
        <v>93</v>
      </c>
      <c r="E21" s="682">
        <v>13</v>
      </c>
      <c r="F21" s="145"/>
      <c r="G21" s="145"/>
      <c r="H21" s="148"/>
      <c r="I21" s="148"/>
      <c r="J21" s="148"/>
      <c r="K21" s="145"/>
      <c r="L21" s="145"/>
      <c r="M21" s="145"/>
      <c r="N21" s="145"/>
      <c r="O21" s="145"/>
      <c r="P21" s="145"/>
    </row>
    <row r="22" spans="1:16" s="68" customFormat="1">
      <c r="A22" s="670">
        <f t="shared" si="0"/>
        <v>9</v>
      </c>
      <c r="B22" s="670" t="s">
        <v>149</v>
      </c>
      <c r="C22" s="671" t="s">
        <v>1484</v>
      </c>
      <c r="D22" s="672" t="s">
        <v>77</v>
      </c>
      <c r="E22" s="681">
        <v>10</v>
      </c>
      <c r="F22" s="145"/>
      <c r="G22" s="145"/>
      <c r="H22" s="148"/>
      <c r="I22" s="148"/>
      <c r="J22" s="148"/>
      <c r="K22" s="145"/>
      <c r="L22" s="145"/>
      <c r="M22" s="145"/>
      <c r="N22" s="145"/>
      <c r="O22" s="145"/>
      <c r="P22" s="145"/>
    </row>
    <row r="23" spans="1:16" s="68" customFormat="1">
      <c r="A23" s="670">
        <f t="shared" si="0"/>
        <v>10</v>
      </c>
      <c r="B23" s="670" t="s">
        <v>149</v>
      </c>
      <c r="C23" s="671" t="s">
        <v>1485</v>
      </c>
      <c r="D23" s="672" t="s">
        <v>77</v>
      </c>
      <c r="E23" s="681">
        <v>200</v>
      </c>
      <c r="F23" s="145"/>
      <c r="G23" s="145"/>
      <c r="H23" s="148"/>
      <c r="I23" s="148"/>
      <c r="J23" s="148"/>
      <c r="K23" s="145"/>
      <c r="L23" s="145"/>
      <c r="M23" s="145"/>
      <c r="N23" s="145"/>
      <c r="O23" s="145"/>
      <c r="P23" s="145"/>
    </row>
    <row r="24" spans="1:16" s="68" customFormat="1">
      <c r="A24" s="670">
        <f t="shared" si="0"/>
        <v>11</v>
      </c>
      <c r="B24" s="670" t="s">
        <v>149</v>
      </c>
      <c r="C24" s="675" t="s">
        <v>1486</v>
      </c>
      <c r="D24" s="672" t="s">
        <v>77</v>
      </c>
      <c r="E24" s="681">
        <v>25</v>
      </c>
      <c r="F24" s="145"/>
      <c r="G24" s="145"/>
      <c r="H24" s="148"/>
      <c r="I24" s="148"/>
      <c r="J24" s="148"/>
      <c r="K24" s="145"/>
      <c r="L24" s="145"/>
      <c r="M24" s="145"/>
      <c r="N24" s="145"/>
      <c r="O24" s="145"/>
      <c r="P24" s="145"/>
    </row>
    <row r="25" spans="1:16" s="68" customFormat="1">
      <c r="A25" s="670">
        <f t="shared" si="0"/>
        <v>12</v>
      </c>
      <c r="B25" s="670" t="s">
        <v>149</v>
      </c>
      <c r="C25" s="675" t="s">
        <v>1430</v>
      </c>
      <c r="D25" s="672" t="s">
        <v>77</v>
      </c>
      <c r="E25" s="681">
        <v>90</v>
      </c>
      <c r="F25" s="145"/>
      <c r="G25" s="145"/>
      <c r="H25" s="148"/>
      <c r="I25" s="148"/>
      <c r="J25" s="148"/>
      <c r="K25" s="145"/>
      <c r="L25" s="145"/>
      <c r="M25" s="145"/>
      <c r="N25" s="145"/>
      <c r="O25" s="145"/>
      <c r="P25" s="145"/>
    </row>
    <row r="26" spans="1:16" s="68" customFormat="1">
      <c r="A26" s="670">
        <f t="shared" si="0"/>
        <v>13</v>
      </c>
      <c r="B26" s="670" t="s">
        <v>149</v>
      </c>
      <c r="C26" s="675" t="s">
        <v>1432</v>
      </c>
      <c r="D26" s="672" t="s">
        <v>77</v>
      </c>
      <c r="E26" s="681">
        <v>50</v>
      </c>
      <c r="F26" s="145"/>
      <c r="G26" s="145"/>
      <c r="H26" s="148"/>
      <c r="I26" s="148"/>
      <c r="J26" s="148"/>
      <c r="K26" s="145"/>
      <c r="L26" s="145"/>
      <c r="M26" s="145"/>
      <c r="N26" s="145"/>
      <c r="O26" s="145"/>
      <c r="P26" s="145"/>
    </row>
    <row r="27" spans="1:16" s="68" customFormat="1">
      <c r="A27" s="670">
        <f t="shared" si="0"/>
        <v>14</v>
      </c>
      <c r="B27" s="670" t="s">
        <v>149</v>
      </c>
      <c r="C27" s="675" t="s">
        <v>1433</v>
      </c>
      <c r="D27" s="672" t="s">
        <v>90</v>
      </c>
      <c r="E27" s="681">
        <v>1</v>
      </c>
      <c r="F27" s="145"/>
      <c r="G27" s="145"/>
      <c r="H27" s="148"/>
      <c r="I27" s="148"/>
      <c r="J27" s="148"/>
      <c r="K27" s="145"/>
      <c r="L27" s="145"/>
      <c r="M27" s="145"/>
      <c r="N27" s="145"/>
      <c r="O27" s="145"/>
      <c r="P27" s="145"/>
    </row>
    <row r="28" spans="1:16" s="68" customFormat="1" ht="24">
      <c r="A28" s="670">
        <f t="shared" si="0"/>
        <v>15</v>
      </c>
      <c r="B28" s="670" t="s">
        <v>149</v>
      </c>
      <c r="C28" s="675" t="s">
        <v>1435</v>
      </c>
      <c r="D28" s="676" t="s">
        <v>90</v>
      </c>
      <c r="E28" s="683">
        <v>1</v>
      </c>
      <c r="F28" s="145"/>
      <c r="G28" s="145"/>
      <c r="H28" s="148"/>
      <c r="I28" s="148"/>
      <c r="J28" s="148"/>
      <c r="K28" s="145"/>
      <c r="L28" s="145"/>
      <c r="M28" s="145"/>
      <c r="N28" s="145"/>
      <c r="O28" s="145"/>
      <c r="P28" s="145"/>
    </row>
    <row r="29" spans="1:16" s="68" customFormat="1">
      <c r="A29" s="670">
        <f t="shared" si="0"/>
        <v>16</v>
      </c>
      <c r="B29" s="670" t="s">
        <v>149</v>
      </c>
      <c r="C29" s="675" t="s">
        <v>1436</v>
      </c>
      <c r="D29" s="672" t="s">
        <v>90</v>
      </c>
      <c r="E29" s="681">
        <v>1</v>
      </c>
      <c r="F29" s="145"/>
      <c r="G29" s="145"/>
      <c r="H29" s="148"/>
      <c r="I29" s="148"/>
      <c r="J29" s="148"/>
      <c r="K29" s="145"/>
      <c r="L29" s="145"/>
      <c r="M29" s="145"/>
      <c r="N29" s="145"/>
      <c r="O29" s="145"/>
      <c r="P29" s="145"/>
    </row>
    <row r="30" spans="1:16" s="68" customFormat="1">
      <c r="A30" s="366">
        <f t="shared" si="0"/>
        <v>17</v>
      </c>
      <c r="B30" s="366" t="s">
        <v>149</v>
      </c>
      <c r="C30" s="544" t="s">
        <v>1470</v>
      </c>
      <c r="D30" s="677" t="s">
        <v>90</v>
      </c>
      <c r="E30" s="684">
        <v>1</v>
      </c>
      <c r="F30" s="146"/>
      <c r="G30" s="146"/>
      <c r="H30" s="149"/>
      <c r="I30" s="149"/>
      <c r="J30" s="149"/>
      <c r="K30" s="146"/>
      <c r="L30" s="146"/>
      <c r="M30" s="146"/>
      <c r="N30" s="146"/>
      <c r="O30" s="146"/>
      <c r="P30" s="146"/>
    </row>
    <row r="31" spans="1:16" s="68" customFormat="1">
      <c r="A31" s="890" t="s">
        <v>177</v>
      </c>
      <c r="B31" s="890"/>
      <c r="C31" s="890"/>
      <c r="D31" s="890"/>
      <c r="E31" s="890"/>
      <c r="F31" s="890"/>
      <c r="G31" s="890"/>
      <c r="H31" s="890"/>
      <c r="I31" s="890"/>
      <c r="J31" s="890"/>
      <c r="K31" s="890"/>
      <c r="L31" s="131">
        <f>SUM(L14:L30)</f>
        <v>0</v>
      </c>
      <c r="M31" s="131">
        <f t="shared" ref="M31:P31" si="1">SUM(M14:M30)</f>
        <v>0</v>
      </c>
      <c r="N31" s="131">
        <f t="shared" si="1"/>
        <v>0</v>
      </c>
      <c r="O31" s="131">
        <f t="shared" si="1"/>
        <v>0</v>
      </c>
      <c r="P31" s="131">
        <f t="shared" si="1"/>
        <v>0</v>
      </c>
    </row>
    <row r="32" spans="1:16" s="68" customFormat="1">
      <c r="A32" s="932" t="s">
        <v>36</v>
      </c>
      <c r="B32" s="932"/>
      <c r="C32" s="1"/>
      <c r="D32" s="1"/>
      <c r="E32" s="1"/>
      <c r="F32" s="1"/>
      <c r="G32" s="1"/>
      <c r="H32" s="1"/>
      <c r="I32" s="1"/>
      <c r="J32" s="1"/>
      <c r="K32" s="1"/>
      <c r="L32" s="1"/>
      <c r="M32" s="1"/>
      <c r="N32" s="1"/>
      <c r="O32" s="1"/>
      <c r="P32" s="1"/>
    </row>
    <row r="33" spans="1:16" s="68" customFormat="1">
      <c r="A33" s="886" t="s">
        <v>56</v>
      </c>
      <c r="B33" s="886"/>
      <c r="C33" s="886"/>
      <c r="D33" s="886"/>
      <c r="E33" s="886"/>
      <c r="F33" s="886"/>
      <c r="G33" s="886"/>
      <c r="H33" s="886"/>
      <c r="I33" s="886"/>
      <c r="J33" s="886"/>
      <c r="K33" s="886"/>
      <c r="L33" s="886"/>
      <c r="M33" s="886"/>
      <c r="N33" s="886"/>
      <c r="O33" s="886"/>
      <c r="P33" s="886"/>
    </row>
    <row r="34" spans="1:16" s="68" customFormat="1">
      <c r="A34" s="903"/>
      <c r="B34" s="903"/>
      <c r="C34" s="9"/>
      <c r="D34" s="9"/>
      <c r="E34" s="9"/>
      <c r="F34" s="9"/>
      <c r="G34" s="9"/>
      <c r="H34" s="9"/>
      <c r="I34" s="9"/>
      <c r="J34" s="9"/>
      <c r="K34" s="9"/>
      <c r="L34" s="50">
        <f>Koptame!A69</f>
        <v>0</v>
      </c>
      <c r="M34" s="50"/>
      <c r="N34" s="50"/>
      <c r="O34" s="50"/>
      <c r="P34" s="50"/>
    </row>
    <row r="35" spans="1:16" s="68" customFormat="1">
      <c r="A35" s="902" t="s">
        <v>7</v>
      </c>
      <c r="B35" s="902"/>
      <c r="C35" s="307"/>
      <c r="D35" s="9"/>
      <c r="E35" s="9"/>
      <c r="F35" s="9"/>
      <c r="G35" s="9"/>
      <c r="H35" s="9"/>
      <c r="I35" s="9"/>
      <c r="J35" s="9"/>
      <c r="K35" s="9"/>
      <c r="L35" s="307"/>
      <c r="M35" s="81">
        <f>Koptame!B70</f>
        <v>0</v>
      </c>
      <c r="N35" s="81"/>
      <c r="O35" s="50"/>
      <c r="P35" s="50"/>
    </row>
    <row r="36" spans="1:16" s="68" customFormat="1">
      <c r="A36" s="678"/>
      <c r="B36" s="678"/>
      <c r="C36" s="679"/>
      <c r="D36" s="680"/>
      <c r="E36" s="680"/>
      <c r="F36" s="300"/>
      <c r="G36" s="300"/>
      <c r="H36" s="301"/>
      <c r="I36" s="301"/>
      <c r="J36" s="301"/>
      <c r="K36" s="300"/>
      <c r="L36" s="300"/>
      <c r="M36" s="300"/>
      <c r="N36" s="300"/>
      <c r="O36" s="300"/>
      <c r="P36" s="300"/>
    </row>
    <row r="37" spans="1:16" s="68" customFormat="1">
      <c r="A37" s="678"/>
      <c r="B37" s="678"/>
      <c r="C37" s="679"/>
      <c r="D37" s="680"/>
      <c r="E37" s="680"/>
      <c r="F37" s="300"/>
      <c r="G37" s="300"/>
      <c r="H37" s="301"/>
      <c r="I37" s="301"/>
      <c r="J37" s="301"/>
      <c r="K37" s="300"/>
      <c r="L37" s="300"/>
      <c r="M37" s="300"/>
      <c r="N37" s="300"/>
      <c r="O37" s="300"/>
      <c r="P37" s="300"/>
    </row>
    <row r="38" spans="1:16" s="68" customFormat="1">
      <c r="A38" s="678"/>
      <c r="B38" s="678"/>
      <c r="C38" s="679"/>
      <c r="D38" s="680"/>
      <c r="E38" s="680"/>
      <c r="F38" s="300"/>
      <c r="G38" s="300"/>
      <c r="H38" s="301"/>
      <c r="I38" s="301"/>
      <c r="J38" s="301"/>
      <c r="K38" s="300"/>
      <c r="L38" s="300"/>
      <c r="M38" s="300"/>
      <c r="N38" s="300"/>
      <c r="O38" s="300"/>
      <c r="P38" s="300"/>
    </row>
    <row r="39" spans="1:16" s="68" customFormat="1">
      <c r="A39" s="678"/>
      <c r="B39" s="678"/>
      <c r="C39" s="679"/>
      <c r="D39" s="680"/>
      <c r="E39" s="680"/>
      <c r="F39" s="300"/>
      <c r="G39" s="300"/>
      <c r="H39" s="301"/>
      <c r="I39" s="301"/>
      <c r="J39" s="301"/>
      <c r="K39" s="300"/>
      <c r="L39" s="300"/>
      <c r="M39" s="300"/>
      <c r="N39" s="300"/>
      <c r="O39" s="300"/>
      <c r="P39" s="300"/>
    </row>
  </sheetData>
  <mergeCells count="24">
    <mergeCell ref="A33:P33"/>
    <mergeCell ref="A34:B34"/>
    <mergeCell ref="A1:P1"/>
    <mergeCell ref="A3:B3"/>
    <mergeCell ref="C3:P3"/>
    <mergeCell ref="A4:B4"/>
    <mergeCell ref="C4:P4"/>
    <mergeCell ref="A2:P2"/>
    <mergeCell ref="A35:B35"/>
    <mergeCell ref="A5:B5"/>
    <mergeCell ref="C5:P5"/>
    <mergeCell ref="A6:B6"/>
    <mergeCell ref="C6:P6"/>
    <mergeCell ref="A7:B7"/>
    <mergeCell ref="C7:P7"/>
    <mergeCell ref="L10:P10"/>
    <mergeCell ref="A10:A11"/>
    <mergeCell ref="B10:B11"/>
    <mergeCell ref="C10:C11"/>
    <mergeCell ref="D10:D11"/>
    <mergeCell ref="E10:E11"/>
    <mergeCell ref="F10:K10"/>
    <mergeCell ref="A31:K31"/>
    <mergeCell ref="A32:B32"/>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Q50"/>
  <sheetViews>
    <sheetView showZeros="0" topLeftCell="A22" zoomScale="75" zoomScaleNormal="75" zoomScaleSheetLayoutView="80" workbookViewId="0">
      <selection activeCell="H39" sqref="H39"/>
    </sheetView>
  </sheetViews>
  <sheetFormatPr defaultColWidth="9.140625" defaultRowHeight="15"/>
  <cols>
    <col min="1" max="1" width="8.85546875" style="60" customWidth="1"/>
    <col min="2" max="2" width="11.7109375" style="60" customWidth="1"/>
    <col min="3" max="3" width="45.7109375" style="60" customWidth="1"/>
    <col min="4" max="11" width="8.7109375" style="60" customWidth="1"/>
    <col min="12" max="16" width="12.7109375" style="60" customWidth="1"/>
    <col min="17" max="16384" width="9.140625" style="60"/>
  </cols>
  <sheetData>
    <row r="1" spans="1:17" s="94" customFormat="1" ht="15.75">
      <c r="A1" s="875" t="s">
        <v>71</v>
      </c>
      <c r="B1" s="875"/>
      <c r="C1" s="875"/>
      <c r="D1" s="875"/>
      <c r="E1" s="875"/>
      <c r="F1" s="875"/>
      <c r="G1" s="875"/>
      <c r="H1" s="875"/>
      <c r="I1" s="875"/>
      <c r="J1" s="875"/>
      <c r="K1" s="875"/>
      <c r="L1" s="875"/>
      <c r="M1" s="875"/>
      <c r="N1" s="875"/>
      <c r="O1" s="875"/>
      <c r="P1" s="875"/>
    </row>
    <row r="2" spans="1:17" s="59" customFormat="1" ht="15.75">
      <c r="A2" s="899" t="s">
        <v>698</v>
      </c>
      <c r="B2" s="899"/>
      <c r="C2" s="899"/>
      <c r="D2" s="899"/>
      <c r="E2" s="899"/>
      <c r="F2" s="899"/>
      <c r="G2" s="899"/>
      <c r="H2" s="899"/>
      <c r="I2" s="899"/>
      <c r="J2" s="899"/>
      <c r="K2" s="899"/>
      <c r="L2" s="899"/>
      <c r="M2" s="899"/>
      <c r="N2" s="899"/>
      <c r="O2" s="899"/>
      <c r="P2" s="899"/>
    </row>
    <row r="3" spans="1:17" s="59" customFormat="1" ht="15.6" customHeight="1">
      <c r="A3" s="876" t="s">
        <v>10</v>
      </c>
      <c r="B3" s="876"/>
      <c r="C3" s="859" t="s">
        <v>117</v>
      </c>
      <c r="D3" s="859"/>
      <c r="E3" s="859"/>
      <c r="F3" s="859"/>
      <c r="G3" s="859"/>
      <c r="H3" s="859"/>
      <c r="I3" s="859"/>
      <c r="J3" s="859"/>
      <c r="K3" s="859"/>
      <c r="L3" s="859"/>
      <c r="M3" s="859"/>
      <c r="N3" s="859"/>
      <c r="O3" s="859"/>
      <c r="P3" s="859"/>
    </row>
    <row r="4" spans="1:17" s="59" customFormat="1" ht="15.6" customHeight="1">
      <c r="A4" s="876" t="s">
        <v>11</v>
      </c>
      <c r="B4" s="876"/>
      <c r="C4" s="859" t="s">
        <v>118</v>
      </c>
      <c r="D4" s="859"/>
      <c r="E4" s="859"/>
      <c r="F4" s="859"/>
      <c r="G4" s="859"/>
      <c r="H4" s="859"/>
      <c r="I4" s="859"/>
      <c r="J4" s="859"/>
      <c r="K4" s="859"/>
      <c r="L4" s="859"/>
      <c r="M4" s="859"/>
      <c r="N4" s="859"/>
      <c r="O4" s="859"/>
      <c r="P4" s="859"/>
    </row>
    <row r="5" spans="1:17" s="59" customFormat="1" ht="15.75">
      <c r="A5" s="876" t="s">
        <v>12</v>
      </c>
      <c r="B5" s="876"/>
      <c r="C5" s="859" t="s">
        <v>50</v>
      </c>
      <c r="D5" s="859"/>
      <c r="E5" s="859"/>
      <c r="F5" s="859"/>
      <c r="G5" s="859"/>
      <c r="H5" s="859"/>
      <c r="I5" s="859"/>
      <c r="J5" s="859"/>
      <c r="K5" s="859"/>
      <c r="L5" s="859"/>
      <c r="M5" s="859"/>
      <c r="N5" s="859"/>
      <c r="O5" s="859"/>
      <c r="P5" s="859"/>
    </row>
    <row r="6" spans="1:17" s="59" customFormat="1" ht="15.75">
      <c r="A6" s="876" t="s">
        <v>30</v>
      </c>
      <c r="B6" s="876"/>
      <c r="C6" s="874"/>
      <c r="D6" s="874"/>
      <c r="E6" s="874"/>
      <c r="F6" s="874"/>
      <c r="G6" s="874"/>
      <c r="H6" s="874"/>
      <c r="I6" s="874"/>
      <c r="J6" s="874"/>
      <c r="K6" s="874"/>
      <c r="L6" s="874"/>
      <c r="M6" s="874"/>
      <c r="N6" s="874"/>
      <c r="O6" s="874"/>
      <c r="P6" s="874"/>
    </row>
    <row r="7" spans="1:17" s="59" customFormat="1" ht="15.75">
      <c r="A7" s="876" t="s">
        <v>54</v>
      </c>
      <c r="B7" s="876"/>
      <c r="C7" s="873"/>
      <c r="D7" s="873"/>
      <c r="E7" s="873"/>
      <c r="F7" s="873"/>
      <c r="G7" s="873"/>
      <c r="H7" s="873"/>
      <c r="I7" s="873"/>
      <c r="J7" s="873"/>
      <c r="K7" s="873"/>
      <c r="L7" s="873"/>
      <c r="M7" s="873"/>
      <c r="N7" s="873"/>
      <c r="O7" s="873"/>
      <c r="P7" s="873"/>
    </row>
    <row r="8" spans="1:17" s="59" customFormat="1" ht="15.75">
      <c r="A8" s="73"/>
      <c r="B8" s="73"/>
      <c r="C8" s="73"/>
      <c r="D8" s="73"/>
      <c r="E8" s="73"/>
      <c r="F8" s="73"/>
      <c r="G8" s="73"/>
      <c r="H8" s="73"/>
      <c r="I8" s="73"/>
      <c r="J8" s="73"/>
      <c r="K8" s="73"/>
      <c r="L8" s="66"/>
      <c r="M8" s="66"/>
      <c r="N8" s="74"/>
      <c r="O8" s="63" t="s">
        <v>52</v>
      </c>
      <c r="P8" s="75">
        <f>P46</f>
        <v>0</v>
      </c>
    </row>
    <row r="9" spans="1:17" ht="15.75">
      <c r="A9" s="65"/>
      <c r="B9" s="65"/>
      <c r="C9" s="66"/>
      <c r="D9" s="66"/>
      <c r="E9" s="66"/>
      <c r="F9" s="66"/>
      <c r="G9" s="66"/>
      <c r="H9" s="66"/>
      <c r="I9" s="66"/>
      <c r="J9" s="66"/>
      <c r="K9" s="66"/>
      <c r="L9" s="66"/>
      <c r="M9" s="66"/>
      <c r="N9" s="66"/>
      <c r="O9" s="66"/>
      <c r="P9" s="66"/>
    </row>
    <row r="10" spans="1:17" ht="14.25" customHeight="1">
      <c r="A10" s="934" t="s">
        <v>14</v>
      </c>
      <c r="B10" s="935" t="s">
        <v>21</v>
      </c>
      <c r="C10" s="937" t="s">
        <v>22</v>
      </c>
      <c r="D10" s="938" t="s">
        <v>23</v>
      </c>
      <c r="E10" s="934" t="s">
        <v>24</v>
      </c>
      <c r="F10" s="933" t="s">
        <v>25</v>
      </c>
      <c r="G10" s="933"/>
      <c r="H10" s="933"/>
      <c r="I10" s="933"/>
      <c r="J10" s="933"/>
      <c r="K10" s="933"/>
      <c r="L10" s="933" t="s">
        <v>26</v>
      </c>
      <c r="M10" s="933"/>
      <c r="N10" s="933"/>
      <c r="O10" s="933"/>
      <c r="P10" s="933"/>
    </row>
    <row r="11" spans="1:17" ht="73.5" customHeight="1">
      <c r="A11" s="934"/>
      <c r="B11" s="936"/>
      <c r="C11" s="937"/>
      <c r="D11" s="938"/>
      <c r="E11" s="934"/>
      <c r="F11" s="318" t="s">
        <v>27</v>
      </c>
      <c r="G11" s="318" t="s">
        <v>37</v>
      </c>
      <c r="H11" s="318" t="s">
        <v>38</v>
      </c>
      <c r="I11" s="318" t="s">
        <v>39</v>
      </c>
      <c r="J11" s="318" t="s">
        <v>40</v>
      </c>
      <c r="K11" s="318" t="s">
        <v>41</v>
      </c>
      <c r="L11" s="318" t="s">
        <v>18</v>
      </c>
      <c r="M11" s="318" t="s">
        <v>38</v>
      </c>
      <c r="N11" s="318" t="s">
        <v>39</v>
      </c>
      <c r="O11" s="318" t="s">
        <v>40</v>
      </c>
      <c r="P11" s="318" t="s">
        <v>42</v>
      </c>
      <c r="Q11" s="85"/>
    </row>
    <row r="12" spans="1:17">
      <c r="A12" s="165">
        <v>1</v>
      </c>
      <c r="B12" s="165">
        <v>2</v>
      </c>
      <c r="C12" s="165">
        <v>3</v>
      </c>
      <c r="D12" s="165">
        <v>4</v>
      </c>
      <c r="E12" s="165">
        <v>5</v>
      </c>
      <c r="F12" s="165">
        <v>6</v>
      </c>
      <c r="G12" s="165">
        <v>7</v>
      </c>
      <c r="H12" s="165">
        <v>8</v>
      </c>
      <c r="I12" s="165">
        <v>9</v>
      </c>
      <c r="J12" s="165">
        <v>10</v>
      </c>
      <c r="K12" s="165">
        <v>11</v>
      </c>
      <c r="L12" s="165">
        <v>12</v>
      </c>
      <c r="M12" s="165">
        <v>13</v>
      </c>
      <c r="N12" s="165">
        <v>14</v>
      </c>
      <c r="O12" s="165">
        <v>15</v>
      </c>
      <c r="P12" s="165">
        <v>16</v>
      </c>
      <c r="Q12" s="85"/>
    </row>
    <row r="13" spans="1:17" s="68" customFormat="1" ht="15" customHeight="1">
      <c r="A13" s="370"/>
      <c r="B13" s="370"/>
      <c r="C13" s="685" t="s">
        <v>698</v>
      </c>
      <c r="D13" s="686"/>
      <c r="E13" s="687"/>
      <c r="F13" s="135"/>
      <c r="G13" s="135"/>
      <c r="H13" s="152"/>
      <c r="I13" s="152"/>
      <c r="J13" s="152"/>
      <c r="K13" s="135"/>
      <c r="L13" s="135"/>
      <c r="M13" s="135"/>
      <c r="N13" s="135"/>
      <c r="O13" s="135"/>
      <c r="P13" s="135"/>
      <c r="Q13" s="108"/>
    </row>
    <row r="14" spans="1:17" s="68" customFormat="1" ht="15" customHeight="1">
      <c r="A14" s="455">
        <v>1</v>
      </c>
      <c r="B14" s="455" t="s">
        <v>149</v>
      </c>
      <c r="C14" s="819" t="s">
        <v>1487</v>
      </c>
      <c r="D14" s="820" t="s">
        <v>77</v>
      </c>
      <c r="E14" s="821">
        <v>165</v>
      </c>
      <c r="F14" s="206"/>
      <c r="G14" s="206"/>
      <c r="H14" s="822"/>
      <c r="I14" s="822"/>
      <c r="J14" s="822"/>
      <c r="K14" s="206"/>
      <c r="L14" s="206"/>
      <c r="M14" s="206"/>
      <c r="N14" s="206"/>
      <c r="O14" s="206"/>
      <c r="P14" s="206"/>
      <c r="Q14" s="108"/>
    </row>
    <row r="15" spans="1:17" s="68" customFormat="1" ht="15" customHeight="1">
      <c r="A15" s="348">
        <f t="shared" ref="A15:A45" si="0">A14+1</f>
        <v>2</v>
      </c>
      <c r="B15" s="348" t="s">
        <v>149</v>
      </c>
      <c r="C15" s="688" t="s">
        <v>1488</v>
      </c>
      <c r="D15" s="689" t="s">
        <v>77</v>
      </c>
      <c r="E15" s="691">
        <v>260</v>
      </c>
      <c r="F15" s="145"/>
      <c r="G15" s="145"/>
      <c r="H15" s="148"/>
      <c r="I15" s="148"/>
      <c r="J15" s="148"/>
      <c r="K15" s="145"/>
      <c r="L15" s="145"/>
      <c r="M15" s="145"/>
      <c r="N15" s="145"/>
      <c r="O15" s="145"/>
      <c r="P15" s="145"/>
      <c r="Q15" s="108"/>
    </row>
    <row r="16" spans="1:17" s="68" customFormat="1" ht="15" customHeight="1">
      <c r="A16" s="348">
        <f t="shared" si="0"/>
        <v>3</v>
      </c>
      <c r="B16" s="348" t="s">
        <v>149</v>
      </c>
      <c r="C16" s="688" t="s">
        <v>1489</v>
      </c>
      <c r="D16" s="689" t="s">
        <v>77</v>
      </c>
      <c r="E16" s="691">
        <v>150</v>
      </c>
      <c r="F16" s="145"/>
      <c r="G16" s="145"/>
      <c r="H16" s="148"/>
      <c r="I16" s="148"/>
      <c r="J16" s="148"/>
      <c r="K16" s="145"/>
      <c r="L16" s="145"/>
      <c r="M16" s="145"/>
      <c r="N16" s="145"/>
      <c r="O16" s="145"/>
      <c r="P16" s="145"/>
      <c r="Q16" s="108"/>
    </row>
    <row r="17" spans="1:17" s="68" customFormat="1" ht="15" customHeight="1">
      <c r="A17" s="348">
        <f t="shared" si="0"/>
        <v>4</v>
      </c>
      <c r="B17" s="348" t="s">
        <v>149</v>
      </c>
      <c r="C17" s="688" t="s">
        <v>1490</v>
      </c>
      <c r="D17" s="689" t="s">
        <v>77</v>
      </c>
      <c r="E17" s="691">
        <v>15</v>
      </c>
      <c r="F17" s="145"/>
      <c r="G17" s="145"/>
      <c r="H17" s="148"/>
      <c r="I17" s="148"/>
      <c r="J17" s="148"/>
      <c r="K17" s="145"/>
      <c r="L17" s="145"/>
      <c r="M17" s="145"/>
      <c r="N17" s="145"/>
      <c r="O17" s="145"/>
      <c r="P17" s="145"/>
      <c r="Q17" s="108"/>
    </row>
    <row r="18" spans="1:17" s="68" customFormat="1" ht="27.6" customHeight="1">
      <c r="A18" s="348">
        <f t="shared" si="0"/>
        <v>5</v>
      </c>
      <c r="B18" s="348" t="s">
        <v>149</v>
      </c>
      <c r="C18" s="688" t="s">
        <v>1491</v>
      </c>
      <c r="D18" s="689" t="s">
        <v>77</v>
      </c>
      <c r="E18" s="691">
        <v>250</v>
      </c>
      <c r="F18" s="145"/>
      <c r="G18" s="145"/>
      <c r="H18" s="148"/>
      <c r="I18" s="148"/>
      <c r="J18" s="148"/>
      <c r="K18" s="145"/>
      <c r="L18" s="145"/>
      <c r="M18" s="145"/>
      <c r="N18" s="145"/>
      <c r="O18" s="145"/>
      <c r="P18" s="145"/>
      <c r="Q18" s="108"/>
    </row>
    <row r="19" spans="1:17" s="68" customFormat="1" ht="15" customHeight="1">
      <c r="A19" s="348">
        <f t="shared" si="0"/>
        <v>6</v>
      </c>
      <c r="B19" s="348" t="s">
        <v>149</v>
      </c>
      <c r="C19" s="688" t="s">
        <v>1492</v>
      </c>
      <c r="D19" s="689" t="s">
        <v>77</v>
      </c>
      <c r="E19" s="691">
        <v>190</v>
      </c>
      <c r="F19" s="145"/>
      <c r="G19" s="145"/>
      <c r="H19" s="148"/>
      <c r="I19" s="148"/>
      <c r="J19" s="148"/>
      <c r="K19" s="145"/>
      <c r="L19" s="145"/>
      <c r="M19" s="145"/>
      <c r="N19" s="145"/>
      <c r="O19" s="145"/>
      <c r="P19" s="145"/>
      <c r="Q19" s="108"/>
    </row>
    <row r="20" spans="1:17" s="68" customFormat="1" ht="15" customHeight="1">
      <c r="A20" s="348">
        <f t="shared" si="0"/>
        <v>7</v>
      </c>
      <c r="B20" s="348" t="s">
        <v>149</v>
      </c>
      <c r="C20" s="688" t="s">
        <v>1493</v>
      </c>
      <c r="D20" s="689" t="s">
        <v>77</v>
      </c>
      <c r="E20" s="691">
        <v>250</v>
      </c>
      <c r="F20" s="145"/>
      <c r="G20" s="145"/>
      <c r="H20" s="148"/>
      <c r="I20" s="148"/>
      <c r="J20" s="148"/>
      <c r="K20" s="145"/>
      <c r="L20" s="145"/>
      <c r="M20" s="145"/>
      <c r="N20" s="145"/>
      <c r="O20" s="145"/>
      <c r="P20" s="145"/>
      <c r="Q20" s="108"/>
    </row>
    <row r="21" spans="1:17" s="68" customFormat="1" ht="15" customHeight="1">
      <c r="A21" s="348">
        <f t="shared" si="0"/>
        <v>8</v>
      </c>
      <c r="B21" s="348" t="s">
        <v>149</v>
      </c>
      <c r="C21" s="688" t="s">
        <v>1494</v>
      </c>
      <c r="D21" s="689" t="s">
        <v>90</v>
      </c>
      <c r="E21" s="691">
        <v>1</v>
      </c>
      <c r="F21" s="145"/>
      <c r="G21" s="145"/>
      <c r="H21" s="148"/>
      <c r="I21" s="148"/>
      <c r="J21" s="148"/>
      <c r="K21" s="145"/>
      <c r="L21" s="145"/>
      <c r="M21" s="145"/>
      <c r="N21" s="145"/>
      <c r="O21" s="145"/>
      <c r="P21" s="145"/>
      <c r="Q21" s="108"/>
    </row>
    <row r="22" spans="1:17" s="68" customFormat="1" ht="15" customHeight="1">
      <c r="A22" s="348">
        <f t="shared" si="0"/>
        <v>9</v>
      </c>
      <c r="B22" s="348" t="s">
        <v>149</v>
      </c>
      <c r="C22" s="688" t="s">
        <v>1495</v>
      </c>
      <c r="D22" s="689" t="s">
        <v>90</v>
      </c>
      <c r="E22" s="691">
        <v>1</v>
      </c>
      <c r="F22" s="145"/>
      <c r="G22" s="145"/>
      <c r="H22" s="148"/>
      <c r="I22" s="148"/>
      <c r="J22" s="148"/>
      <c r="K22" s="145"/>
      <c r="L22" s="145"/>
      <c r="M22" s="145"/>
      <c r="N22" s="145"/>
      <c r="O22" s="145"/>
      <c r="P22" s="145"/>
      <c r="Q22" s="108"/>
    </row>
    <row r="23" spans="1:17" s="68" customFormat="1" ht="15" customHeight="1">
      <c r="A23" s="348">
        <f t="shared" si="0"/>
        <v>10</v>
      </c>
      <c r="B23" s="348" t="s">
        <v>149</v>
      </c>
      <c r="C23" s="688" t="s">
        <v>1496</v>
      </c>
      <c r="D23" s="689" t="s">
        <v>90</v>
      </c>
      <c r="E23" s="691">
        <v>1</v>
      </c>
      <c r="F23" s="145"/>
      <c r="G23" s="145"/>
      <c r="H23" s="148"/>
      <c r="I23" s="148"/>
      <c r="J23" s="148"/>
      <c r="K23" s="145"/>
      <c r="L23" s="145"/>
      <c r="M23" s="145"/>
      <c r="N23" s="145"/>
      <c r="O23" s="145"/>
      <c r="P23" s="145"/>
      <c r="Q23" s="108"/>
    </row>
    <row r="24" spans="1:17" s="68" customFormat="1" ht="15" customHeight="1">
      <c r="A24" s="348">
        <f t="shared" si="0"/>
        <v>11</v>
      </c>
      <c r="B24" s="348" t="s">
        <v>149</v>
      </c>
      <c r="C24" s="688" t="s">
        <v>1497</v>
      </c>
      <c r="D24" s="689" t="s">
        <v>90</v>
      </c>
      <c r="E24" s="691">
        <v>1</v>
      </c>
      <c r="F24" s="145"/>
      <c r="G24" s="145"/>
      <c r="H24" s="148"/>
      <c r="I24" s="148"/>
      <c r="J24" s="148"/>
      <c r="K24" s="145"/>
      <c r="L24" s="145"/>
      <c r="M24" s="145"/>
      <c r="N24" s="145"/>
      <c r="O24" s="145"/>
      <c r="P24" s="145"/>
      <c r="Q24" s="108"/>
    </row>
    <row r="25" spans="1:17" s="68" customFormat="1" ht="29.45" customHeight="1">
      <c r="A25" s="348">
        <f t="shared" si="0"/>
        <v>12</v>
      </c>
      <c r="B25" s="348" t="s">
        <v>149</v>
      </c>
      <c r="C25" s="688" t="s">
        <v>1498</v>
      </c>
      <c r="D25" s="348" t="s">
        <v>90</v>
      </c>
      <c r="E25" s="691">
        <v>1</v>
      </c>
      <c r="F25" s="145"/>
      <c r="G25" s="145"/>
      <c r="H25" s="148"/>
      <c r="I25" s="148"/>
      <c r="J25" s="148"/>
      <c r="K25" s="145"/>
      <c r="L25" s="145"/>
      <c r="M25" s="145"/>
      <c r="N25" s="145"/>
      <c r="O25" s="145"/>
      <c r="P25" s="145"/>
      <c r="Q25" s="108"/>
    </row>
    <row r="26" spans="1:17" s="68" customFormat="1" ht="15" customHeight="1">
      <c r="A26" s="348">
        <f t="shared" si="0"/>
        <v>13</v>
      </c>
      <c r="B26" s="348" t="s">
        <v>149</v>
      </c>
      <c r="C26" s="688" t="s">
        <v>1499</v>
      </c>
      <c r="D26" s="689" t="s">
        <v>90</v>
      </c>
      <c r="E26" s="691">
        <v>1</v>
      </c>
      <c r="F26" s="145"/>
      <c r="G26" s="145"/>
      <c r="H26" s="148"/>
      <c r="I26" s="148"/>
      <c r="J26" s="148"/>
      <c r="K26" s="145"/>
      <c r="L26" s="145"/>
      <c r="M26" s="145"/>
      <c r="N26" s="145"/>
      <c r="O26" s="145"/>
      <c r="P26" s="145"/>
      <c r="Q26" s="108"/>
    </row>
    <row r="27" spans="1:17" s="68" customFormat="1" ht="15" customHeight="1">
      <c r="A27" s="348">
        <f t="shared" si="0"/>
        <v>14</v>
      </c>
      <c r="B27" s="348" t="s">
        <v>149</v>
      </c>
      <c r="C27" s="688" t="s">
        <v>1500</v>
      </c>
      <c r="D27" s="689" t="s">
        <v>90</v>
      </c>
      <c r="E27" s="691">
        <v>1</v>
      </c>
      <c r="F27" s="145"/>
      <c r="G27" s="145"/>
      <c r="H27" s="148"/>
      <c r="I27" s="148"/>
      <c r="J27" s="148"/>
      <c r="K27" s="145"/>
      <c r="L27" s="145"/>
      <c r="M27" s="145"/>
      <c r="N27" s="145"/>
      <c r="O27" s="145"/>
      <c r="P27" s="145"/>
      <c r="Q27" s="108"/>
    </row>
    <row r="28" spans="1:17" s="68" customFormat="1" ht="15" customHeight="1">
      <c r="A28" s="348">
        <f t="shared" si="0"/>
        <v>15</v>
      </c>
      <c r="B28" s="348" t="s">
        <v>149</v>
      </c>
      <c r="C28" s="688" t="s">
        <v>1501</v>
      </c>
      <c r="D28" s="689" t="s">
        <v>100</v>
      </c>
      <c r="E28" s="691">
        <v>1</v>
      </c>
      <c r="F28" s="145"/>
      <c r="G28" s="145"/>
      <c r="H28" s="148"/>
      <c r="I28" s="148"/>
      <c r="J28" s="148"/>
      <c r="K28" s="145"/>
      <c r="L28" s="145"/>
      <c r="M28" s="145"/>
      <c r="N28" s="145"/>
      <c r="O28" s="145"/>
      <c r="P28" s="145"/>
      <c r="Q28" s="108"/>
    </row>
    <row r="29" spans="1:17" s="68" customFormat="1" ht="15" customHeight="1">
      <c r="A29" s="348">
        <f>A28+1</f>
        <v>16</v>
      </c>
      <c r="B29" s="348" t="s">
        <v>149</v>
      </c>
      <c r="C29" s="688" t="s">
        <v>1502</v>
      </c>
      <c r="D29" s="689" t="s">
        <v>90</v>
      </c>
      <c r="E29" s="691">
        <v>1</v>
      </c>
      <c r="F29" s="145"/>
      <c r="G29" s="145"/>
      <c r="H29" s="148"/>
      <c r="I29" s="148"/>
      <c r="J29" s="148"/>
      <c r="K29" s="145"/>
      <c r="L29" s="145"/>
      <c r="M29" s="145"/>
      <c r="N29" s="145"/>
      <c r="O29" s="145"/>
      <c r="P29" s="145"/>
      <c r="Q29" s="108"/>
    </row>
    <row r="30" spans="1:17" s="68" customFormat="1" ht="15" customHeight="1">
      <c r="A30" s="348">
        <f t="shared" si="0"/>
        <v>17</v>
      </c>
      <c r="B30" s="348" t="s">
        <v>149</v>
      </c>
      <c r="C30" s="688" t="s">
        <v>1503</v>
      </c>
      <c r="D30" s="689" t="s">
        <v>90</v>
      </c>
      <c r="E30" s="691">
        <v>1</v>
      </c>
      <c r="F30" s="145"/>
      <c r="G30" s="145"/>
      <c r="H30" s="148"/>
      <c r="I30" s="148"/>
      <c r="J30" s="148"/>
      <c r="K30" s="145"/>
      <c r="L30" s="145"/>
      <c r="M30" s="145"/>
      <c r="N30" s="145"/>
      <c r="O30" s="145"/>
      <c r="P30" s="145"/>
      <c r="Q30" s="108"/>
    </row>
    <row r="31" spans="1:17" s="68" customFormat="1" ht="15" customHeight="1">
      <c r="A31" s="348">
        <f t="shared" si="0"/>
        <v>18</v>
      </c>
      <c r="B31" s="348" t="s">
        <v>149</v>
      </c>
      <c r="C31" s="688" t="s">
        <v>1504</v>
      </c>
      <c r="D31" s="689" t="s">
        <v>90</v>
      </c>
      <c r="E31" s="691">
        <v>1</v>
      </c>
      <c r="F31" s="145"/>
      <c r="G31" s="145"/>
      <c r="H31" s="148"/>
      <c r="I31" s="148"/>
      <c r="J31" s="148"/>
      <c r="K31" s="145"/>
      <c r="L31" s="145"/>
      <c r="M31" s="145"/>
      <c r="N31" s="145"/>
      <c r="O31" s="145"/>
      <c r="P31" s="145"/>
      <c r="Q31" s="108"/>
    </row>
    <row r="32" spans="1:17" s="68" customFormat="1" ht="15" customHeight="1">
      <c r="A32" s="348">
        <f t="shared" si="0"/>
        <v>19</v>
      </c>
      <c r="B32" s="348" t="s">
        <v>149</v>
      </c>
      <c r="C32" s="688" t="s">
        <v>1505</v>
      </c>
      <c r="D32" s="689" t="s">
        <v>93</v>
      </c>
      <c r="E32" s="691">
        <v>6</v>
      </c>
      <c r="F32" s="145"/>
      <c r="G32" s="145"/>
      <c r="H32" s="148"/>
      <c r="I32" s="148"/>
      <c r="J32" s="148"/>
      <c r="K32" s="145"/>
      <c r="L32" s="145"/>
      <c r="M32" s="145"/>
      <c r="N32" s="145"/>
      <c r="O32" s="145"/>
      <c r="P32" s="145"/>
      <c r="Q32" s="108"/>
    </row>
    <row r="33" spans="1:17" s="68" customFormat="1" ht="15" customHeight="1">
      <c r="A33" s="348">
        <f t="shared" si="0"/>
        <v>20</v>
      </c>
      <c r="B33" s="348" t="s">
        <v>149</v>
      </c>
      <c r="C33" s="688" t="s">
        <v>1506</v>
      </c>
      <c r="D33" s="689" t="s">
        <v>93</v>
      </c>
      <c r="E33" s="691">
        <v>8</v>
      </c>
      <c r="F33" s="145"/>
      <c r="G33" s="145"/>
      <c r="H33" s="148"/>
      <c r="I33" s="148"/>
      <c r="J33" s="148"/>
      <c r="K33" s="145"/>
      <c r="L33" s="145"/>
      <c r="M33" s="145"/>
      <c r="N33" s="145"/>
      <c r="O33" s="145"/>
      <c r="P33" s="145"/>
      <c r="Q33" s="108"/>
    </row>
    <row r="34" spans="1:17" s="68" customFormat="1" ht="15" customHeight="1">
      <c r="A34" s="348">
        <f t="shared" si="0"/>
        <v>21</v>
      </c>
      <c r="B34" s="348" t="s">
        <v>149</v>
      </c>
      <c r="C34" s="688" t="s">
        <v>1507</v>
      </c>
      <c r="D34" s="689" t="s">
        <v>93</v>
      </c>
      <c r="E34" s="691">
        <v>1</v>
      </c>
      <c r="F34" s="145"/>
      <c r="G34" s="145"/>
      <c r="H34" s="148"/>
      <c r="I34" s="148"/>
      <c r="J34" s="148"/>
      <c r="K34" s="145"/>
      <c r="L34" s="145"/>
      <c r="M34" s="145"/>
      <c r="N34" s="145"/>
      <c r="O34" s="145"/>
      <c r="P34" s="145"/>
      <c r="Q34" s="108"/>
    </row>
    <row r="35" spans="1:17" s="68" customFormat="1" ht="15" customHeight="1">
      <c r="A35" s="348">
        <f t="shared" si="0"/>
        <v>22</v>
      </c>
      <c r="B35" s="348" t="s">
        <v>149</v>
      </c>
      <c r="C35" s="688" t="s">
        <v>1508</v>
      </c>
      <c r="D35" s="689" t="s">
        <v>93</v>
      </c>
      <c r="E35" s="691">
        <v>24</v>
      </c>
      <c r="F35" s="145"/>
      <c r="G35" s="145"/>
      <c r="H35" s="148"/>
      <c r="I35" s="148"/>
      <c r="J35" s="148"/>
      <c r="K35" s="145"/>
      <c r="L35" s="145"/>
      <c r="M35" s="145"/>
      <c r="N35" s="145"/>
      <c r="O35" s="145"/>
      <c r="P35" s="145"/>
      <c r="Q35" s="108"/>
    </row>
    <row r="36" spans="1:17" s="68" customFormat="1" ht="15" customHeight="1">
      <c r="A36" s="348">
        <f t="shared" si="0"/>
        <v>23</v>
      </c>
      <c r="B36" s="348" t="s">
        <v>149</v>
      </c>
      <c r="C36" s="688" t="s">
        <v>1509</v>
      </c>
      <c r="D36" s="689" t="s">
        <v>93</v>
      </c>
      <c r="E36" s="691">
        <v>6</v>
      </c>
      <c r="F36" s="145"/>
      <c r="G36" s="145"/>
      <c r="H36" s="148"/>
      <c r="I36" s="148"/>
      <c r="J36" s="148"/>
      <c r="K36" s="145"/>
      <c r="L36" s="145"/>
      <c r="M36" s="145"/>
      <c r="N36" s="145"/>
      <c r="O36" s="145"/>
      <c r="P36" s="145"/>
      <c r="Q36" s="108"/>
    </row>
    <row r="37" spans="1:17" s="68" customFormat="1" ht="15" customHeight="1">
      <c r="A37" s="348">
        <f t="shared" si="0"/>
        <v>24</v>
      </c>
      <c r="B37" s="348" t="s">
        <v>149</v>
      </c>
      <c r="C37" s="688" t="s">
        <v>1510</v>
      </c>
      <c r="D37" s="689" t="s">
        <v>93</v>
      </c>
      <c r="E37" s="691">
        <v>10</v>
      </c>
      <c r="F37" s="145"/>
      <c r="G37" s="145"/>
      <c r="H37" s="148"/>
      <c r="I37" s="148"/>
      <c r="J37" s="148"/>
      <c r="K37" s="145"/>
      <c r="L37" s="145"/>
      <c r="M37" s="145"/>
      <c r="N37" s="145"/>
      <c r="O37" s="145"/>
      <c r="P37" s="145"/>
      <c r="Q37" s="108"/>
    </row>
    <row r="38" spans="1:17" s="68" customFormat="1" ht="15" customHeight="1">
      <c r="A38" s="348">
        <f t="shared" si="0"/>
        <v>25</v>
      </c>
      <c r="B38" s="348" t="s">
        <v>149</v>
      </c>
      <c r="C38" s="688" t="s">
        <v>1511</v>
      </c>
      <c r="D38" s="689" t="s">
        <v>93</v>
      </c>
      <c r="E38" s="691">
        <v>6</v>
      </c>
      <c r="F38" s="145"/>
      <c r="G38" s="145"/>
      <c r="H38" s="148"/>
      <c r="I38" s="148"/>
      <c r="J38" s="148"/>
      <c r="K38" s="145"/>
      <c r="L38" s="145"/>
      <c r="M38" s="145"/>
      <c r="N38" s="145"/>
      <c r="O38" s="145"/>
      <c r="P38" s="145"/>
      <c r="Q38" s="108"/>
    </row>
    <row r="39" spans="1:17" s="68" customFormat="1" ht="15" customHeight="1">
      <c r="A39" s="348">
        <f t="shared" si="0"/>
        <v>26</v>
      </c>
      <c r="B39" s="348" t="s">
        <v>149</v>
      </c>
      <c r="C39" s="688" t="s">
        <v>1512</v>
      </c>
      <c r="D39" s="689" t="s">
        <v>90</v>
      </c>
      <c r="E39" s="691">
        <v>1</v>
      </c>
      <c r="F39" s="145"/>
      <c r="G39" s="145"/>
      <c r="H39" s="148"/>
      <c r="I39" s="148"/>
      <c r="J39" s="148"/>
      <c r="K39" s="145"/>
      <c r="L39" s="145"/>
      <c r="M39" s="145"/>
      <c r="N39" s="145"/>
      <c r="O39" s="145"/>
      <c r="P39" s="145"/>
      <c r="Q39" s="108"/>
    </row>
    <row r="40" spans="1:17" s="68" customFormat="1" ht="15" customHeight="1">
      <c r="A40" s="348">
        <f t="shared" si="0"/>
        <v>27</v>
      </c>
      <c r="B40" s="348" t="s">
        <v>149</v>
      </c>
      <c r="C40" s="688" t="s">
        <v>1513</v>
      </c>
      <c r="D40" s="689" t="s">
        <v>90</v>
      </c>
      <c r="E40" s="691">
        <v>1</v>
      </c>
      <c r="F40" s="145"/>
      <c r="G40" s="145"/>
      <c r="H40" s="148"/>
      <c r="I40" s="148"/>
      <c r="J40" s="148"/>
      <c r="K40" s="145"/>
      <c r="L40" s="145"/>
      <c r="M40" s="145"/>
      <c r="N40" s="145"/>
      <c r="O40" s="145"/>
      <c r="P40" s="145"/>
      <c r="Q40" s="108"/>
    </row>
    <row r="41" spans="1:17" s="68" customFormat="1" ht="15" customHeight="1">
      <c r="A41" s="380">
        <f t="shared" si="0"/>
        <v>28</v>
      </c>
      <c r="B41" s="380" t="s">
        <v>149</v>
      </c>
      <c r="C41" s="823" t="s">
        <v>1514</v>
      </c>
      <c r="D41" s="824" t="s">
        <v>90</v>
      </c>
      <c r="E41" s="825">
        <v>1</v>
      </c>
      <c r="F41" s="145"/>
      <c r="G41" s="145"/>
      <c r="H41" s="148"/>
      <c r="I41" s="148"/>
      <c r="J41" s="148"/>
      <c r="K41" s="145"/>
      <c r="L41" s="145"/>
      <c r="M41" s="145"/>
      <c r="N41" s="145"/>
      <c r="O41" s="145"/>
      <c r="P41" s="145"/>
      <c r="Q41" s="108"/>
    </row>
    <row r="42" spans="1:17" s="68" customFormat="1" ht="25.5">
      <c r="A42" s="831">
        <f t="shared" si="0"/>
        <v>29</v>
      </c>
      <c r="B42" s="831" t="s">
        <v>149</v>
      </c>
      <c r="C42" s="832" t="s">
        <v>1788</v>
      </c>
      <c r="D42" s="833" t="s">
        <v>77</v>
      </c>
      <c r="E42" s="834">
        <v>84</v>
      </c>
      <c r="F42" s="835"/>
      <c r="G42" s="835"/>
      <c r="H42" s="836"/>
      <c r="I42" s="836"/>
      <c r="J42" s="836"/>
      <c r="K42" s="835"/>
      <c r="L42" s="835"/>
      <c r="M42" s="835"/>
      <c r="N42" s="835"/>
      <c r="O42" s="835"/>
      <c r="P42" s="835"/>
      <c r="Q42" s="108"/>
    </row>
    <row r="43" spans="1:17" s="68" customFormat="1" ht="15" customHeight="1">
      <c r="A43" s="831">
        <f t="shared" si="0"/>
        <v>30</v>
      </c>
      <c r="B43" s="831" t="s">
        <v>149</v>
      </c>
      <c r="C43" s="832" t="s">
        <v>1789</v>
      </c>
      <c r="D43" s="837" t="s">
        <v>77</v>
      </c>
      <c r="E43" s="834">
        <v>18</v>
      </c>
      <c r="F43" s="835"/>
      <c r="G43" s="835"/>
      <c r="H43" s="836"/>
      <c r="I43" s="836"/>
      <c r="J43" s="836"/>
      <c r="K43" s="835"/>
      <c r="L43" s="835"/>
      <c r="M43" s="835"/>
      <c r="N43" s="835"/>
      <c r="O43" s="835"/>
      <c r="P43" s="835"/>
      <c r="Q43" s="108"/>
    </row>
    <row r="44" spans="1:17" s="68" customFormat="1" ht="15" customHeight="1">
      <c r="A44" s="831">
        <f t="shared" si="0"/>
        <v>31</v>
      </c>
      <c r="B44" s="831" t="s">
        <v>149</v>
      </c>
      <c r="C44" s="832" t="s">
        <v>1790</v>
      </c>
      <c r="D44" s="837" t="s">
        <v>77</v>
      </c>
      <c r="E44" s="834">
        <v>66</v>
      </c>
      <c r="F44" s="835"/>
      <c r="G44" s="835"/>
      <c r="H44" s="836"/>
      <c r="I44" s="836"/>
      <c r="J44" s="836"/>
      <c r="K44" s="835"/>
      <c r="L44" s="835"/>
      <c r="M44" s="835"/>
      <c r="N44" s="835"/>
      <c r="O44" s="835"/>
      <c r="P44" s="835"/>
      <c r="Q44" s="108"/>
    </row>
    <row r="45" spans="1:17" s="68" customFormat="1" ht="15" customHeight="1">
      <c r="A45" s="831">
        <f t="shared" si="0"/>
        <v>32</v>
      </c>
      <c r="B45" s="831" t="s">
        <v>149</v>
      </c>
      <c r="C45" s="826" t="s">
        <v>1787</v>
      </c>
      <c r="D45" s="827" t="s">
        <v>77</v>
      </c>
      <c r="E45" s="828">
        <v>84</v>
      </c>
      <c r="F45" s="829"/>
      <c r="G45" s="829"/>
      <c r="H45" s="830"/>
      <c r="I45" s="830"/>
      <c r="J45" s="830"/>
      <c r="K45" s="829"/>
      <c r="L45" s="829"/>
      <c r="M45" s="829"/>
      <c r="N45" s="829"/>
      <c r="O45" s="829"/>
      <c r="P45" s="829"/>
      <c r="Q45" s="108"/>
    </row>
    <row r="46" spans="1:17">
      <c r="A46" s="890" t="s">
        <v>177</v>
      </c>
      <c r="B46" s="890"/>
      <c r="C46" s="890"/>
      <c r="D46" s="890"/>
      <c r="E46" s="890"/>
      <c r="F46" s="890"/>
      <c r="G46" s="890"/>
      <c r="H46" s="890"/>
      <c r="I46" s="890"/>
      <c r="J46" s="890"/>
      <c r="K46" s="890"/>
      <c r="L46" s="131">
        <f>SUM(L14:L41)</f>
        <v>0</v>
      </c>
      <c r="M46" s="131">
        <f t="shared" ref="M46:P46" si="1">SUM(M14:M41)</f>
        <v>0</v>
      </c>
      <c r="N46" s="131">
        <f t="shared" si="1"/>
        <v>0</v>
      </c>
      <c r="O46" s="131">
        <f t="shared" si="1"/>
        <v>0</v>
      </c>
      <c r="P46" s="131">
        <f t="shared" si="1"/>
        <v>0</v>
      </c>
    </row>
    <row r="47" spans="1:17" s="50" customFormat="1" collapsed="1">
      <c r="A47" s="885" t="s">
        <v>36</v>
      </c>
      <c r="B47" s="885"/>
      <c r="C47" s="1"/>
      <c r="D47" s="1"/>
      <c r="E47" s="1"/>
      <c r="F47" s="1"/>
      <c r="G47" s="1"/>
      <c r="H47" s="1"/>
      <c r="I47" s="1"/>
      <c r="J47" s="1"/>
      <c r="K47" s="1"/>
      <c r="L47" s="1"/>
      <c r="M47" s="1"/>
      <c r="N47" s="1"/>
      <c r="O47" s="1"/>
      <c r="P47" s="1"/>
    </row>
    <row r="48" spans="1:17" s="50" customFormat="1">
      <c r="A48" s="886" t="s">
        <v>56</v>
      </c>
      <c r="B48" s="886"/>
      <c r="C48" s="886"/>
      <c r="D48" s="886"/>
      <c r="E48" s="886"/>
      <c r="F48" s="886"/>
      <c r="G48" s="886"/>
      <c r="H48" s="886"/>
      <c r="I48" s="886"/>
      <c r="J48" s="886"/>
      <c r="K48" s="886"/>
      <c r="L48" s="886"/>
      <c r="M48" s="886"/>
      <c r="N48" s="886"/>
      <c r="O48" s="886"/>
      <c r="P48" s="886"/>
    </row>
    <row r="49" spans="1:16" s="50" customFormat="1" collapsed="1">
      <c r="A49" s="903"/>
      <c r="B49" s="903"/>
      <c r="C49" s="9"/>
      <c r="D49" s="9"/>
      <c r="E49" s="9"/>
      <c r="F49" s="9"/>
      <c r="G49" s="9"/>
      <c r="H49" s="9"/>
      <c r="I49" s="9"/>
      <c r="J49" s="9"/>
      <c r="K49" s="9"/>
      <c r="L49" s="50">
        <f>Koptame!A65</f>
        <v>0</v>
      </c>
    </row>
    <row r="50" spans="1:16">
      <c r="A50" s="902" t="s">
        <v>7</v>
      </c>
      <c r="B50" s="902"/>
      <c r="C50" s="307"/>
      <c r="D50" s="9"/>
      <c r="E50" s="9"/>
      <c r="F50" s="9"/>
      <c r="G50" s="9"/>
      <c r="H50" s="9"/>
      <c r="I50" s="9"/>
      <c r="J50" s="9"/>
      <c r="K50" s="9"/>
      <c r="L50" s="307"/>
      <c r="M50" s="81">
        <f>Koptame!B66</f>
        <v>0</v>
      </c>
      <c r="N50" s="81"/>
      <c r="O50" s="50"/>
      <c r="P50" s="50"/>
    </row>
  </sheetData>
  <mergeCells count="24">
    <mergeCell ref="F10:K10"/>
    <mergeCell ref="L10:P10"/>
    <mergeCell ref="A10:A11"/>
    <mergeCell ref="B10:B11"/>
    <mergeCell ref="C10:C11"/>
    <mergeCell ref="D10:D11"/>
    <mergeCell ref="E10:E11"/>
    <mergeCell ref="A1:P1"/>
    <mergeCell ref="A3:B3"/>
    <mergeCell ref="C3:P3"/>
    <mergeCell ref="A4:B4"/>
    <mergeCell ref="C4:P4"/>
    <mergeCell ref="A2:P2"/>
    <mergeCell ref="A5:B5"/>
    <mergeCell ref="C5:P5"/>
    <mergeCell ref="A6:B6"/>
    <mergeCell ref="C6:P6"/>
    <mergeCell ref="A7:B7"/>
    <mergeCell ref="C7:P7"/>
    <mergeCell ref="A49:B49"/>
    <mergeCell ref="A50:B50"/>
    <mergeCell ref="A46:K46"/>
    <mergeCell ref="A47:B47"/>
    <mergeCell ref="A48:P48"/>
  </mergeCells>
  <conditionalFormatting sqref="C13">
    <cfRule type="expression" priority="62" stopIfTrue="1">
      <formula>#REF!</formula>
    </cfRule>
  </conditionalFormatting>
  <conditionalFormatting sqref="C13">
    <cfRule type="expression" priority="61" stopIfTrue="1">
      <formula>#REF!</formula>
    </cfRule>
  </conditionalFormatting>
  <conditionalFormatting sqref="C14">
    <cfRule type="expression" priority="60" stopIfTrue="1">
      <formula>#REF!</formula>
    </cfRule>
  </conditionalFormatting>
  <conditionalFormatting sqref="C14">
    <cfRule type="expression" priority="59" stopIfTrue="1">
      <formula>#REF!</formula>
    </cfRule>
  </conditionalFormatting>
  <conditionalFormatting sqref="C15">
    <cfRule type="expression" priority="58" stopIfTrue="1">
      <formula>#REF!</formula>
    </cfRule>
  </conditionalFormatting>
  <conditionalFormatting sqref="C15">
    <cfRule type="expression" priority="57" stopIfTrue="1">
      <formula>#REF!</formula>
    </cfRule>
  </conditionalFormatting>
  <conditionalFormatting sqref="C17">
    <cfRule type="expression" priority="56" stopIfTrue="1">
      <formula>#REF!</formula>
    </cfRule>
  </conditionalFormatting>
  <conditionalFormatting sqref="C17">
    <cfRule type="expression" priority="55" stopIfTrue="1">
      <formula>#REF!</formula>
    </cfRule>
  </conditionalFormatting>
  <conditionalFormatting sqref="C18">
    <cfRule type="expression" priority="54" stopIfTrue="1">
      <formula>#REF!</formula>
    </cfRule>
  </conditionalFormatting>
  <conditionalFormatting sqref="C18">
    <cfRule type="expression" priority="53" stopIfTrue="1">
      <formula>#REF!</formula>
    </cfRule>
  </conditionalFormatting>
  <conditionalFormatting sqref="C19">
    <cfRule type="expression" priority="52" stopIfTrue="1">
      <formula>#REF!</formula>
    </cfRule>
  </conditionalFormatting>
  <conditionalFormatting sqref="C19">
    <cfRule type="expression" priority="51" stopIfTrue="1">
      <formula>#REF!</formula>
    </cfRule>
  </conditionalFormatting>
  <conditionalFormatting sqref="C20">
    <cfRule type="expression" priority="50" stopIfTrue="1">
      <formula>#REF!</formula>
    </cfRule>
  </conditionalFormatting>
  <conditionalFormatting sqref="C20">
    <cfRule type="expression" priority="49" stopIfTrue="1">
      <formula>#REF!</formula>
    </cfRule>
  </conditionalFormatting>
  <conditionalFormatting sqref="C21">
    <cfRule type="expression" priority="48" stopIfTrue="1">
      <formula>#REF!</formula>
    </cfRule>
  </conditionalFormatting>
  <conditionalFormatting sqref="C21">
    <cfRule type="expression" priority="47" stopIfTrue="1">
      <formula>#REF!</formula>
    </cfRule>
  </conditionalFormatting>
  <conditionalFormatting sqref="C16">
    <cfRule type="expression" priority="46" stopIfTrue="1">
      <formula>#REF!</formula>
    </cfRule>
  </conditionalFormatting>
  <conditionalFormatting sqref="C16">
    <cfRule type="expression" priority="45" stopIfTrue="1">
      <formula>#REF!</formula>
    </cfRule>
  </conditionalFormatting>
  <conditionalFormatting sqref="C26">
    <cfRule type="expression" priority="44" stopIfTrue="1">
      <formula>#REF!</formula>
    </cfRule>
  </conditionalFormatting>
  <conditionalFormatting sqref="C26">
    <cfRule type="expression" priority="43" stopIfTrue="1">
      <formula>#REF!</formula>
    </cfRule>
  </conditionalFormatting>
  <conditionalFormatting sqref="C27">
    <cfRule type="expression" priority="42" stopIfTrue="1">
      <formula>#REF!</formula>
    </cfRule>
  </conditionalFormatting>
  <conditionalFormatting sqref="C27">
    <cfRule type="expression" priority="41" stopIfTrue="1">
      <formula>#REF!</formula>
    </cfRule>
  </conditionalFormatting>
  <conditionalFormatting sqref="C22">
    <cfRule type="expression" priority="40" stopIfTrue="1">
      <formula>#REF!</formula>
    </cfRule>
  </conditionalFormatting>
  <conditionalFormatting sqref="C22">
    <cfRule type="expression" priority="39" stopIfTrue="1">
      <formula>#REF!</formula>
    </cfRule>
  </conditionalFormatting>
  <conditionalFormatting sqref="C23">
    <cfRule type="expression" priority="38" stopIfTrue="1">
      <formula>#REF!</formula>
    </cfRule>
  </conditionalFormatting>
  <conditionalFormatting sqref="C23">
    <cfRule type="expression" priority="37" stopIfTrue="1">
      <formula>#REF!</formula>
    </cfRule>
  </conditionalFormatting>
  <conditionalFormatting sqref="C25">
    <cfRule type="expression" priority="36" stopIfTrue="1">
      <formula>#REF!</formula>
    </cfRule>
  </conditionalFormatting>
  <conditionalFormatting sqref="C25">
    <cfRule type="expression" priority="35" stopIfTrue="1">
      <formula>#REF!</formula>
    </cfRule>
  </conditionalFormatting>
  <conditionalFormatting sqref="C28">
    <cfRule type="expression" priority="34" stopIfTrue="1">
      <formula>#REF!</formula>
    </cfRule>
  </conditionalFormatting>
  <conditionalFormatting sqref="C28">
    <cfRule type="expression" priority="33" stopIfTrue="1">
      <formula>#REF!</formula>
    </cfRule>
  </conditionalFormatting>
  <conditionalFormatting sqref="C24">
    <cfRule type="expression" priority="32" stopIfTrue="1">
      <formula>#REF!</formula>
    </cfRule>
  </conditionalFormatting>
  <conditionalFormatting sqref="C24">
    <cfRule type="expression" priority="31" stopIfTrue="1">
      <formula>#REF!</formula>
    </cfRule>
  </conditionalFormatting>
  <conditionalFormatting sqref="C29">
    <cfRule type="expression" priority="30" stopIfTrue="1">
      <formula>#REF!</formula>
    </cfRule>
  </conditionalFormatting>
  <conditionalFormatting sqref="C29">
    <cfRule type="expression" priority="29" stopIfTrue="1">
      <formula>#REF!</formula>
    </cfRule>
  </conditionalFormatting>
  <conditionalFormatting sqref="C30">
    <cfRule type="expression" priority="28" stopIfTrue="1">
      <formula>#REF!</formula>
    </cfRule>
  </conditionalFormatting>
  <conditionalFormatting sqref="C30">
    <cfRule type="expression" priority="27" stopIfTrue="1">
      <formula>#REF!</formula>
    </cfRule>
  </conditionalFormatting>
  <conditionalFormatting sqref="C31">
    <cfRule type="expression" priority="26" stopIfTrue="1">
      <formula>#REF!</formula>
    </cfRule>
  </conditionalFormatting>
  <conditionalFormatting sqref="C31">
    <cfRule type="expression" priority="25" stopIfTrue="1">
      <formula>#REF!</formula>
    </cfRule>
  </conditionalFormatting>
  <conditionalFormatting sqref="C33">
    <cfRule type="expression" priority="24" stopIfTrue="1">
      <formula>#REF!</formula>
    </cfRule>
  </conditionalFormatting>
  <conditionalFormatting sqref="C33">
    <cfRule type="expression" priority="23" stopIfTrue="1">
      <formula>#REF!</formula>
    </cfRule>
  </conditionalFormatting>
  <conditionalFormatting sqref="C34">
    <cfRule type="expression" priority="22" stopIfTrue="1">
      <formula>#REF!</formula>
    </cfRule>
  </conditionalFormatting>
  <conditionalFormatting sqref="C34">
    <cfRule type="expression" priority="21" stopIfTrue="1">
      <formula>#REF!</formula>
    </cfRule>
  </conditionalFormatting>
  <conditionalFormatting sqref="C35">
    <cfRule type="expression" priority="20" stopIfTrue="1">
      <formula>#REF!</formula>
    </cfRule>
  </conditionalFormatting>
  <conditionalFormatting sqref="C35">
    <cfRule type="expression" priority="19" stopIfTrue="1">
      <formula>#REF!</formula>
    </cfRule>
  </conditionalFormatting>
  <conditionalFormatting sqref="C36">
    <cfRule type="expression" priority="18" stopIfTrue="1">
      <formula>#REF!</formula>
    </cfRule>
  </conditionalFormatting>
  <conditionalFormatting sqref="C36">
    <cfRule type="expression" priority="17" stopIfTrue="1">
      <formula>#REF!</formula>
    </cfRule>
  </conditionalFormatting>
  <conditionalFormatting sqref="C37">
    <cfRule type="expression" priority="16" stopIfTrue="1">
      <formula>#REF!</formula>
    </cfRule>
  </conditionalFormatting>
  <conditionalFormatting sqref="C37">
    <cfRule type="expression" priority="15" stopIfTrue="1">
      <formula>#REF!</formula>
    </cfRule>
  </conditionalFormatting>
  <conditionalFormatting sqref="C32">
    <cfRule type="expression" priority="14" stopIfTrue="1">
      <formula>#REF!</formula>
    </cfRule>
  </conditionalFormatting>
  <conditionalFormatting sqref="C32">
    <cfRule type="expression" priority="13" stopIfTrue="1">
      <formula>#REF!</formula>
    </cfRule>
  </conditionalFormatting>
  <conditionalFormatting sqref="C38">
    <cfRule type="expression" priority="12" stopIfTrue="1">
      <formula>#REF!</formula>
    </cfRule>
  </conditionalFormatting>
  <conditionalFormatting sqref="C38">
    <cfRule type="expression" priority="11" stopIfTrue="1">
      <formula>#REF!</formula>
    </cfRule>
  </conditionalFormatting>
  <conditionalFormatting sqref="C39">
    <cfRule type="expression" priority="10" stopIfTrue="1">
      <formula>#REF!</formula>
    </cfRule>
  </conditionalFormatting>
  <conditionalFormatting sqref="C39">
    <cfRule type="expression" priority="9" stopIfTrue="1">
      <formula>#REF!</formula>
    </cfRule>
  </conditionalFormatting>
  <conditionalFormatting sqref="C41 C45">
    <cfRule type="expression" priority="8" stopIfTrue="1">
      <formula>#REF!</formula>
    </cfRule>
  </conditionalFormatting>
  <conditionalFormatting sqref="C41 C45">
    <cfRule type="expression" priority="7" stopIfTrue="1">
      <formula>#REF!</formula>
    </cfRule>
  </conditionalFormatting>
  <conditionalFormatting sqref="C40">
    <cfRule type="expression" priority="6" stopIfTrue="1">
      <formula>#REF!</formula>
    </cfRule>
  </conditionalFormatting>
  <conditionalFormatting sqref="C40">
    <cfRule type="expression" priority="5" stopIfTrue="1">
      <formula>#REF!</formula>
    </cfRule>
  </conditionalFormatting>
  <conditionalFormatting sqref="C42">
    <cfRule type="expression" priority="4" stopIfTrue="1">
      <formula>#REF!</formula>
    </cfRule>
  </conditionalFormatting>
  <conditionalFormatting sqref="C42">
    <cfRule type="expression" priority="3" stopIfTrue="1">
      <formula>#REF!</formula>
    </cfRule>
  </conditionalFormatting>
  <conditionalFormatting sqref="C43:C44">
    <cfRule type="expression" priority="2" stopIfTrue="1">
      <formula>#REF!</formula>
    </cfRule>
  </conditionalFormatting>
  <conditionalFormatting sqref="C43:C44">
    <cfRule type="expression" priority="1"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Q49"/>
  <sheetViews>
    <sheetView showZeros="0" zoomScale="75" zoomScaleNormal="75" zoomScaleSheetLayoutView="80" workbookViewId="0">
      <selection sqref="A1:Q1"/>
    </sheetView>
  </sheetViews>
  <sheetFormatPr defaultColWidth="9.140625" defaultRowHeight="15"/>
  <cols>
    <col min="1" max="1" width="8.85546875" style="60" customWidth="1"/>
    <col min="2" max="2" width="11.7109375" style="60" customWidth="1"/>
    <col min="3" max="3" width="45.7109375" style="88" customWidth="1"/>
    <col min="4" max="4" width="8" style="88" customWidth="1"/>
    <col min="5" max="12" width="8.7109375" style="60" customWidth="1"/>
    <col min="13" max="17" width="12.7109375" style="60" customWidth="1"/>
    <col min="18" max="16384" width="9.140625" style="60"/>
  </cols>
  <sheetData>
    <row r="1" spans="1:17" s="94" customFormat="1" ht="15.75">
      <c r="A1" s="875" t="s">
        <v>72</v>
      </c>
      <c r="B1" s="875"/>
      <c r="C1" s="875"/>
      <c r="D1" s="875"/>
      <c r="E1" s="875"/>
      <c r="F1" s="875"/>
      <c r="G1" s="875"/>
      <c r="H1" s="875"/>
      <c r="I1" s="875"/>
      <c r="J1" s="875"/>
      <c r="K1" s="875"/>
      <c r="L1" s="875"/>
      <c r="M1" s="875"/>
      <c r="N1" s="875"/>
      <c r="O1" s="875"/>
      <c r="P1" s="875"/>
      <c r="Q1" s="875"/>
    </row>
    <row r="2" spans="1:17" s="59" customFormat="1" ht="15.75">
      <c r="A2" s="899" t="s">
        <v>700</v>
      </c>
      <c r="B2" s="899"/>
      <c r="C2" s="899"/>
      <c r="D2" s="899"/>
      <c r="E2" s="899"/>
      <c r="F2" s="899"/>
      <c r="G2" s="899"/>
      <c r="H2" s="899"/>
      <c r="I2" s="899"/>
      <c r="J2" s="899"/>
      <c r="K2" s="899"/>
      <c r="L2" s="899"/>
      <c r="M2" s="899"/>
      <c r="N2" s="899"/>
      <c r="O2" s="899"/>
      <c r="P2" s="899"/>
      <c r="Q2" s="899"/>
    </row>
    <row r="3" spans="1:17" s="59" customFormat="1" ht="15.6" customHeight="1">
      <c r="A3" s="876" t="s">
        <v>10</v>
      </c>
      <c r="B3" s="876"/>
      <c r="C3" s="859" t="s">
        <v>117</v>
      </c>
      <c r="D3" s="859"/>
      <c r="E3" s="859"/>
      <c r="F3" s="859"/>
      <c r="G3" s="859"/>
      <c r="H3" s="859"/>
      <c r="I3" s="859"/>
      <c r="J3" s="859"/>
      <c r="K3" s="859"/>
      <c r="L3" s="859"/>
      <c r="M3" s="859"/>
      <c r="N3" s="859"/>
      <c r="O3" s="859"/>
      <c r="P3" s="859"/>
      <c r="Q3" s="859"/>
    </row>
    <row r="4" spans="1:17" s="59" customFormat="1" ht="15.6" customHeight="1">
      <c r="A4" s="876" t="s">
        <v>11</v>
      </c>
      <c r="B4" s="876"/>
      <c r="C4" s="859" t="s">
        <v>118</v>
      </c>
      <c r="D4" s="859"/>
      <c r="E4" s="859"/>
      <c r="F4" s="859"/>
      <c r="G4" s="859"/>
      <c r="H4" s="859"/>
      <c r="I4" s="859"/>
      <c r="J4" s="859"/>
      <c r="K4" s="859"/>
      <c r="L4" s="859"/>
      <c r="M4" s="859"/>
      <c r="N4" s="859"/>
      <c r="O4" s="859"/>
      <c r="P4" s="859"/>
      <c r="Q4" s="859"/>
    </row>
    <row r="5" spans="1:17" s="59" customFormat="1" ht="15.75">
      <c r="A5" s="876" t="s">
        <v>12</v>
      </c>
      <c r="B5" s="876"/>
      <c r="C5" s="859" t="s">
        <v>50</v>
      </c>
      <c r="D5" s="859"/>
      <c r="E5" s="859"/>
      <c r="F5" s="859"/>
      <c r="G5" s="859"/>
      <c r="H5" s="859"/>
      <c r="I5" s="859"/>
      <c r="J5" s="859"/>
      <c r="K5" s="859"/>
      <c r="L5" s="859"/>
      <c r="M5" s="859"/>
      <c r="N5" s="859"/>
      <c r="O5" s="859"/>
      <c r="P5" s="859"/>
      <c r="Q5" s="859"/>
    </row>
    <row r="6" spans="1:17" s="59" customFormat="1" ht="15.75">
      <c r="A6" s="876" t="s">
        <v>30</v>
      </c>
      <c r="B6" s="876"/>
      <c r="C6" s="874"/>
      <c r="D6" s="874"/>
      <c r="E6" s="874"/>
      <c r="F6" s="874"/>
      <c r="G6" s="874"/>
      <c r="H6" s="874"/>
      <c r="I6" s="874"/>
      <c r="J6" s="874"/>
      <c r="K6" s="874"/>
      <c r="L6" s="874"/>
      <c r="M6" s="874"/>
      <c r="N6" s="874"/>
      <c r="O6" s="874"/>
      <c r="P6" s="874"/>
      <c r="Q6" s="874"/>
    </row>
    <row r="7" spans="1:17" s="59" customFormat="1" ht="15.75">
      <c r="A7" s="876" t="s">
        <v>54</v>
      </c>
      <c r="B7" s="876"/>
      <c r="C7" s="873"/>
      <c r="D7" s="873"/>
      <c r="E7" s="873"/>
      <c r="F7" s="873"/>
      <c r="G7" s="873"/>
      <c r="H7" s="873"/>
      <c r="I7" s="873"/>
      <c r="J7" s="873"/>
      <c r="K7" s="873"/>
      <c r="L7" s="873"/>
      <c r="M7" s="873"/>
      <c r="N7" s="873"/>
      <c r="O7" s="873"/>
      <c r="P7" s="873"/>
      <c r="Q7" s="873"/>
    </row>
    <row r="8" spans="1:17" s="59" customFormat="1" ht="15.75">
      <c r="A8" s="73"/>
      <c r="B8" s="73"/>
      <c r="C8" s="73"/>
      <c r="D8" s="73"/>
      <c r="E8" s="73"/>
      <c r="F8" s="73"/>
      <c r="G8" s="73"/>
      <c r="H8" s="73"/>
      <c r="I8" s="73"/>
      <c r="J8" s="73"/>
      <c r="K8" s="73"/>
      <c r="L8" s="73"/>
      <c r="M8" s="66"/>
      <c r="N8" s="66"/>
      <c r="O8" s="74"/>
      <c r="P8" s="63" t="s">
        <v>52</v>
      </c>
      <c r="Q8" s="75">
        <f>Q45</f>
        <v>0</v>
      </c>
    </row>
    <row r="9" spans="1:17" ht="15.75">
      <c r="A9" s="65"/>
      <c r="B9" s="65"/>
      <c r="C9" s="91"/>
      <c r="D9" s="91"/>
      <c r="E9" s="66"/>
      <c r="F9" s="66"/>
      <c r="G9" s="66"/>
      <c r="H9" s="66"/>
      <c r="I9" s="66"/>
      <c r="J9" s="66"/>
      <c r="K9" s="66"/>
      <c r="L9" s="66"/>
      <c r="M9" s="66"/>
      <c r="N9" s="66"/>
      <c r="O9" s="66"/>
      <c r="P9" s="66"/>
      <c r="Q9" s="66"/>
    </row>
    <row r="10" spans="1:17" ht="14.25" customHeight="1">
      <c r="A10" s="893" t="s">
        <v>14</v>
      </c>
      <c r="B10" s="894" t="s">
        <v>21</v>
      </c>
      <c r="C10" s="896" t="s">
        <v>22</v>
      </c>
      <c r="D10" s="922" t="s">
        <v>1776</v>
      </c>
      <c r="E10" s="897" t="s">
        <v>23</v>
      </c>
      <c r="F10" s="893" t="s">
        <v>24</v>
      </c>
      <c r="G10" s="892" t="s">
        <v>25</v>
      </c>
      <c r="H10" s="892"/>
      <c r="I10" s="892"/>
      <c r="J10" s="892"/>
      <c r="K10" s="892"/>
      <c r="L10" s="892"/>
      <c r="M10" s="892" t="s">
        <v>26</v>
      </c>
      <c r="N10" s="892"/>
      <c r="O10" s="892"/>
      <c r="P10" s="892"/>
      <c r="Q10" s="892"/>
    </row>
    <row r="11" spans="1:17" ht="74.25" customHeight="1">
      <c r="A11" s="893"/>
      <c r="B11" s="895"/>
      <c r="C11" s="896"/>
      <c r="D11" s="923"/>
      <c r="E11" s="897"/>
      <c r="F11" s="893"/>
      <c r="G11" s="309" t="s">
        <v>27</v>
      </c>
      <c r="H11" s="309" t="s">
        <v>37</v>
      </c>
      <c r="I11" s="309" t="s">
        <v>38</v>
      </c>
      <c r="J11" s="309" t="s">
        <v>39</v>
      </c>
      <c r="K11" s="309" t="s">
        <v>40</v>
      </c>
      <c r="L11" s="309" t="s">
        <v>41</v>
      </c>
      <c r="M11" s="309" t="s">
        <v>18</v>
      </c>
      <c r="N11" s="309" t="s">
        <v>38</v>
      </c>
      <c r="O11" s="309" t="s">
        <v>39</v>
      </c>
      <c r="P11" s="309" t="s">
        <v>40</v>
      </c>
      <c r="Q11" s="309" t="s">
        <v>42</v>
      </c>
    </row>
    <row r="12" spans="1:17">
      <c r="A12" s="115">
        <v>1</v>
      </c>
      <c r="B12" s="115">
        <v>2</v>
      </c>
      <c r="C12" s="115">
        <v>3</v>
      </c>
      <c r="D12" s="115"/>
      <c r="E12" s="115">
        <v>4</v>
      </c>
      <c r="F12" s="115">
        <v>5</v>
      </c>
      <c r="G12" s="115">
        <v>6</v>
      </c>
      <c r="H12" s="115">
        <v>7</v>
      </c>
      <c r="I12" s="115">
        <v>8</v>
      </c>
      <c r="J12" s="115">
        <v>9</v>
      </c>
      <c r="K12" s="115">
        <v>10</v>
      </c>
      <c r="L12" s="115">
        <v>11</v>
      </c>
      <c r="M12" s="115">
        <v>12</v>
      </c>
      <c r="N12" s="115">
        <v>13</v>
      </c>
      <c r="O12" s="115">
        <v>14</v>
      </c>
      <c r="P12" s="115">
        <v>15</v>
      </c>
      <c r="Q12" s="115">
        <v>16</v>
      </c>
    </row>
    <row r="13" spans="1:17" s="68" customFormat="1" ht="37.5" customHeight="1">
      <c r="A13" s="344">
        <v>1</v>
      </c>
      <c r="B13" s="344" t="s">
        <v>149</v>
      </c>
      <c r="C13" s="693" t="s">
        <v>1515</v>
      </c>
      <c r="D13" s="693" t="s">
        <v>1516</v>
      </c>
      <c r="E13" s="694" t="s">
        <v>90</v>
      </c>
      <c r="F13" s="703">
        <v>1</v>
      </c>
      <c r="G13" s="694"/>
      <c r="H13" s="150"/>
      <c r="I13" s="151"/>
      <c r="J13" s="151"/>
      <c r="K13" s="151"/>
      <c r="L13" s="150"/>
      <c r="M13" s="150"/>
      <c r="N13" s="150"/>
      <c r="O13" s="150"/>
      <c r="P13" s="150"/>
      <c r="Q13" s="150"/>
    </row>
    <row r="14" spans="1:17" s="68" customFormat="1" ht="37.5" customHeight="1">
      <c r="A14" s="348">
        <f>A13+1</f>
        <v>2</v>
      </c>
      <c r="B14" s="348" t="s">
        <v>149</v>
      </c>
      <c r="C14" s="697" t="s">
        <v>1517</v>
      </c>
      <c r="D14" s="695" t="s">
        <v>1518</v>
      </c>
      <c r="E14" s="696" t="s">
        <v>93</v>
      </c>
      <c r="F14" s="704">
        <v>1</v>
      </c>
      <c r="G14" s="696"/>
      <c r="H14" s="145"/>
      <c r="I14" s="148"/>
      <c r="J14" s="148"/>
      <c r="K14" s="148"/>
      <c r="L14" s="145"/>
      <c r="M14" s="145"/>
      <c r="N14" s="145"/>
      <c r="O14" s="145"/>
      <c r="P14" s="145"/>
      <c r="Q14" s="145"/>
    </row>
    <row r="15" spans="1:17" s="68" customFormat="1" ht="37.5" customHeight="1">
      <c r="A15" s="348">
        <f t="shared" ref="A15:A44" si="0">A14+1</f>
        <v>3</v>
      </c>
      <c r="B15" s="348" t="s">
        <v>149</v>
      </c>
      <c r="C15" s="697" t="s">
        <v>1519</v>
      </c>
      <c r="D15" s="697" t="s">
        <v>1520</v>
      </c>
      <c r="E15" s="696" t="s">
        <v>93</v>
      </c>
      <c r="F15" s="704">
        <v>6</v>
      </c>
      <c r="G15" s="696"/>
      <c r="H15" s="145"/>
      <c r="I15" s="148"/>
      <c r="J15" s="148"/>
      <c r="K15" s="148"/>
      <c r="L15" s="145"/>
      <c r="M15" s="145"/>
      <c r="N15" s="145"/>
      <c r="O15" s="145"/>
      <c r="P15" s="145"/>
      <c r="Q15" s="145"/>
    </row>
    <row r="16" spans="1:17" s="68" customFormat="1" ht="37.5" customHeight="1">
      <c r="A16" s="348">
        <f t="shared" si="0"/>
        <v>4</v>
      </c>
      <c r="B16" s="348" t="s">
        <v>149</v>
      </c>
      <c r="C16" s="698" t="s">
        <v>1521</v>
      </c>
      <c r="D16" s="698" t="s">
        <v>1522</v>
      </c>
      <c r="E16" s="696" t="s">
        <v>93</v>
      </c>
      <c r="F16" s="704">
        <v>6</v>
      </c>
      <c r="G16" s="696"/>
      <c r="H16" s="145"/>
      <c r="I16" s="148"/>
      <c r="J16" s="148"/>
      <c r="K16" s="148"/>
      <c r="L16" s="145"/>
      <c r="M16" s="145"/>
      <c r="N16" s="145"/>
      <c r="O16" s="145"/>
      <c r="P16" s="145"/>
      <c r="Q16" s="145"/>
    </row>
    <row r="17" spans="1:17" s="68" customFormat="1" ht="37.5" customHeight="1">
      <c r="A17" s="348">
        <f t="shared" si="0"/>
        <v>5</v>
      </c>
      <c r="B17" s="348" t="s">
        <v>149</v>
      </c>
      <c r="C17" s="698" t="s">
        <v>1523</v>
      </c>
      <c r="D17" s="698" t="s">
        <v>1524</v>
      </c>
      <c r="E17" s="696" t="s">
        <v>93</v>
      </c>
      <c r="F17" s="704">
        <v>142</v>
      </c>
      <c r="G17" s="696"/>
      <c r="H17" s="145"/>
      <c r="I17" s="148"/>
      <c r="J17" s="148"/>
      <c r="K17" s="148"/>
      <c r="L17" s="145"/>
      <c r="M17" s="145"/>
      <c r="N17" s="145"/>
      <c r="O17" s="145"/>
      <c r="P17" s="145"/>
      <c r="Q17" s="145"/>
    </row>
    <row r="18" spans="1:17" s="68" customFormat="1" ht="37.5" customHeight="1">
      <c r="A18" s="348">
        <f t="shared" si="0"/>
        <v>6</v>
      </c>
      <c r="B18" s="348" t="s">
        <v>149</v>
      </c>
      <c r="C18" s="698" t="s">
        <v>1525</v>
      </c>
      <c r="D18" s="698" t="s">
        <v>1526</v>
      </c>
      <c r="E18" s="696" t="s">
        <v>93</v>
      </c>
      <c r="F18" s="704">
        <v>34</v>
      </c>
      <c r="G18" s="696"/>
      <c r="H18" s="145"/>
      <c r="I18" s="148"/>
      <c r="J18" s="148"/>
      <c r="K18" s="148"/>
      <c r="L18" s="145"/>
      <c r="M18" s="145"/>
      <c r="N18" s="145"/>
      <c r="O18" s="145"/>
      <c r="P18" s="145"/>
      <c r="Q18" s="145"/>
    </row>
    <row r="19" spans="1:17" s="68" customFormat="1" ht="37.5" customHeight="1">
      <c r="A19" s="348">
        <f t="shared" si="0"/>
        <v>7</v>
      </c>
      <c r="B19" s="348" t="s">
        <v>149</v>
      </c>
      <c r="C19" s="697" t="s">
        <v>1527</v>
      </c>
      <c r="D19" s="698" t="s">
        <v>1528</v>
      </c>
      <c r="E19" s="696" t="s">
        <v>93</v>
      </c>
      <c r="F19" s="704">
        <v>182</v>
      </c>
      <c r="G19" s="696"/>
      <c r="H19" s="145"/>
      <c r="I19" s="148"/>
      <c r="J19" s="148"/>
      <c r="K19" s="148"/>
      <c r="L19" s="145"/>
      <c r="M19" s="145"/>
      <c r="N19" s="145"/>
      <c r="O19" s="145"/>
      <c r="P19" s="145"/>
      <c r="Q19" s="145"/>
    </row>
    <row r="20" spans="1:17" s="68" customFormat="1" ht="37.5" customHeight="1">
      <c r="A20" s="348">
        <f t="shared" si="0"/>
        <v>8</v>
      </c>
      <c r="B20" s="348" t="s">
        <v>149</v>
      </c>
      <c r="C20" s="697" t="s">
        <v>1529</v>
      </c>
      <c r="D20" s="697" t="s">
        <v>1530</v>
      </c>
      <c r="E20" s="696" t="s">
        <v>93</v>
      </c>
      <c r="F20" s="704">
        <v>22</v>
      </c>
      <c r="G20" s="696"/>
      <c r="H20" s="145"/>
      <c r="I20" s="148"/>
      <c r="J20" s="148"/>
      <c r="K20" s="148"/>
      <c r="L20" s="145"/>
      <c r="M20" s="145"/>
      <c r="N20" s="145"/>
      <c r="O20" s="145"/>
      <c r="P20" s="145"/>
      <c r="Q20" s="145"/>
    </row>
    <row r="21" spans="1:17" s="68" customFormat="1" ht="37.5" customHeight="1">
      <c r="A21" s="348">
        <f t="shared" si="0"/>
        <v>9</v>
      </c>
      <c r="B21" s="348" t="s">
        <v>149</v>
      </c>
      <c r="C21" s="697" t="s">
        <v>1531</v>
      </c>
      <c r="D21" s="698" t="s">
        <v>1532</v>
      </c>
      <c r="E21" s="696" t="s">
        <v>90</v>
      </c>
      <c r="F21" s="704">
        <v>19</v>
      </c>
      <c r="G21" s="696"/>
      <c r="H21" s="145"/>
      <c r="I21" s="148"/>
      <c r="J21" s="148"/>
      <c r="K21" s="148"/>
      <c r="L21" s="145"/>
      <c r="M21" s="145"/>
      <c r="N21" s="145"/>
      <c r="O21" s="145"/>
      <c r="P21" s="145"/>
      <c r="Q21" s="145"/>
    </row>
    <row r="22" spans="1:17" s="68" customFormat="1" ht="37.5" customHeight="1">
      <c r="A22" s="348">
        <f t="shared" si="0"/>
        <v>10</v>
      </c>
      <c r="B22" s="348" t="s">
        <v>149</v>
      </c>
      <c r="C22" s="697" t="s">
        <v>1533</v>
      </c>
      <c r="D22" s="697" t="s">
        <v>1534</v>
      </c>
      <c r="E22" s="696" t="s">
        <v>93</v>
      </c>
      <c r="F22" s="704">
        <v>2</v>
      </c>
      <c r="G22" s="696"/>
      <c r="H22" s="145"/>
      <c r="I22" s="148"/>
      <c r="J22" s="148"/>
      <c r="K22" s="148"/>
      <c r="L22" s="145"/>
      <c r="M22" s="145"/>
      <c r="N22" s="145"/>
      <c r="O22" s="145"/>
      <c r="P22" s="145"/>
      <c r="Q22" s="145"/>
    </row>
    <row r="23" spans="1:17" s="68" customFormat="1" ht="37.5" customHeight="1">
      <c r="A23" s="348">
        <f t="shared" si="0"/>
        <v>11</v>
      </c>
      <c r="B23" s="348" t="s">
        <v>149</v>
      </c>
      <c r="C23" s="697" t="s">
        <v>1535</v>
      </c>
      <c r="D23" s="698" t="s">
        <v>1536</v>
      </c>
      <c r="E23" s="696" t="s">
        <v>90</v>
      </c>
      <c r="F23" s="704">
        <v>18</v>
      </c>
      <c r="G23" s="696"/>
      <c r="H23" s="145"/>
      <c r="I23" s="148"/>
      <c r="J23" s="148"/>
      <c r="K23" s="148"/>
      <c r="L23" s="145"/>
      <c r="M23" s="145"/>
      <c r="N23" s="145"/>
      <c r="O23" s="145"/>
      <c r="P23" s="145"/>
      <c r="Q23" s="145"/>
    </row>
    <row r="24" spans="1:17" s="68" customFormat="1" ht="37.5" customHeight="1">
      <c r="A24" s="348">
        <f t="shared" si="0"/>
        <v>12</v>
      </c>
      <c r="B24" s="348" t="s">
        <v>149</v>
      </c>
      <c r="C24" s="697" t="s">
        <v>1537</v>
      </c>
      <c r="D24" s="697" t="s">
        <v>1538</v>
      </c>
      <c r="E24" s="696" t="s">
        <v>93</v>
      </c>
      <c r="F24" s="704">
        <v>8</v>
      </c>
      <c r="G24" s="696"/>
      <c r="H24" s="145"/>
      <c r="I24" s="148"/>
      <c r="J24" s="148"/>
      <c r="K24" s="148"/>
      <c r="L24" s="145"/>
      <c r="M24" s="145"/>
      <c r="N24" s="145"/>
      <c r="O24" s="145"/>
      <c r="P24" s="145"/>
      <c r="Q24" s="145"/>
    </row>
    <row r="25" spans="1:17" s="68" customFormat="1" ht="37.5" customHeight="1">
      <c r="A25" s="348">
        <f t="shared" si="0"/>
        <v>13</v>
      </c>
      <c r="B25" s="348" t="s">
        <v>149</v>
      </c>
      <c r="C25" s="697" t="s">
        <v>1539</v>
      </c>
      <c r="D25" s="697" t="s">
        <v>1540</v>
      </c>
      <c r="E25" s="696" t="s">
        <v>93</v>
      </c>
      <c r="F25" s="704">
        <v>8</v>
      </c>
      <c r="G25" s="696"/>
      <c r="H25" s="145"/>
      <c r="I25" s="148"/>
      <c r="J25" s="148"/>
      <c r="K25" s="148"/>
      <c r="L25" s="145"/>
      <c r="M25" s="145"/>
      <c r="N25" s="145"/>
      <c r="O25" s="145"/>
      <c r="P25" s="145"/>
      <c r="Q25" s="145"/>
    </row>
    <row r="26" spans="1:17" s="68" customFormat="1" ht="37.5" customHeight="1">
      <c r="A26" s="348">
        <f t="shared" si="0"/>
        <v>14</v>
      </c>
      <c r="B26" s="348" t="s">
        <v>149</v>
      </c>
      <c r="C26" s="697" t="s">
        <v>1541</v>
      </c>
      <c r="D26" s="698" t="s">
        <v>1542</v>
      </c>
      <c r="E26" s="696" t="s">
        <v>90</v>
      </c>
      <c r="F26" s="704">
        <v>1</v>
      </c>
      <c r="G26" s="696"/>
      <c r="H26" s="145"/>
      <c r="I26" s="148"/>
      <c r="J26" s="148"/>
      <c r="K26" s="148"/>
      <c r="L26" s="145"/>
      <c r="M26" s="145"/>
      <c r="N26" s="145"/>
      <c r="O26" s="145"/>
      <c r="P26" s="145"/>
      <c r="Q26" s="145"/>
    </row>
    <row r="27" spans="1:17" s="68" customFormat="1" ht="37.5" customHeight="1">
      <c r="A27" s="348">
        <f t="shared" si="0"/>
        <v>15</v>
      </c>
      <c r="B27" s="348" t="s">
        <v>149</v>
      </c>
      <c r="C27" s="697" t="s">
        <v>1543</v>
      </c>
      <c r="D27" s="697" t="s">
        <v>1544</v>
      </c>
      <c r="E27" s="696" t="s">
        <v>90</v>
      </c>
      <c r="F27" s="704">
        <v>4</v>
      </c>
      <c r="G27" s="696"/>
      <c r="H27" s="145"/>
      <c r="I27" s="148"/>
      <c r="J27" s="148"/>
      <c r="K27" s="148"/>
      <c r="L27" s="145"/>
      <c r="M27" s="145"/>
      <c r="N27" s="145"/>
      <c r="O27" s="145"/>
      <c r="P27" s="145"/>
      <c r="Q27" s="145"/>
    </row>
    <row r="28" spans="1:17" s="68" customFormat="1" ht="37.5" customHeight="1">
      <c r="A28" s="348">
        <f t="shared" si="0"/>
        <v>16</v>
      </c>
      <c r="B28" s="348" t="s">
        <v>149</v>
      </c>
      <c r="C28" s="697" t="s">
        <v>1545</v>
      </c>
      <c r="D28" s="697" t="s">
        <v>1546</v>
      </c>
      <c r="E28" s="696" t="s">
        <v>90</v>
      </c>
      <c r="F28" s="704">
        <v>1</v>
      </c>
      <c r="G28" s="696"/>
      <c r="H28" s="145"/>
      <c r="I28" s="148"/>
      <c r="J28" s="148"/>
      <c r="K28" s="148"/>
      <c r="L28" s="145"/>
      <c r="M28" s="145"/>
      <c r="N28" s="145"/>
      <c r="O28" s="145"/>
      <c r="P28" s="145"/>
      <c r="Q28" s="145"/>
    </row>
    <row r="29" spans="1:17" s="68" customFormat="1" ht="37.5" customHeight="1">
      <c r="A29" s="348">
        <f t="shared" si="0"/>
        <v>17</v>
      </c>
      <c r="B29" s="348" t="s">
        <v>149</v>
      </c>
      <c r="C29" s="697" t="s">
        <v>1547</v>
      </c>
      <c r="D29" s="697" t="s">
        <v>1548</v>
      </c>
      <c r="E29" s="696" t="s">
        <v>93</v>
      </c>
      <c r="F29" s="704">
        <v>1</v>
      </c>
      <c r="G29" s="696"/>
      <c r="H29" s="145"/>
      <c r="I29" s="148"/>
      <c r="J29" s="148"/>
      <c r="K29" s="148"/>
      <c r="L29" s="145"/>
      <c r="M29" s="145"/>
      <c r="N29" s="145"/>
      <c r="O29" s="145"/>
      <c r="P29" s="145"/>
      <c r="Q29" s="145"/>
    </row>
    <row r="30" spans="1:17" s="68" customFormat="1" ht="37.5" customHeight="1">
      <c r="A30" s="348">
        <f t="shared" si="0"/>
        <v>18</v>
      </c>
      <c r="B30" s="348" t="s">
        <v>149</v>
      </c>
      <c r="C30" s="697" t="s">
        <v>1549</v>
      </c>
      <c r="D30" s="697" t="s">
        <v>1550</v>
      </c>
      <c r="E30" s="696" t="s">
        <v>77</v>
      </c>
      <c r="F30" s="704">
        <v>2800</v>
      </c>
      <c r="G30" s="696"/>
      <c r="H30" s="145"/>
      <c r="I30" s="148"/>
      <c r="J30" s="148"/>
      <c r="K30" s="148"/>
      <c r="L30" s="145"/>
      <c r="M30" s="145"/>
      <c r="N30" s="145"/>
      <c r="O30" s="145"/>
      <c r="P30" s="145"/>
      <c r="Q30" s="145"/>
    </row>
    <row r="31" spans="1:17" s="68" customFormat="1" ht="37.5" customHeight="1">
      <c r="A31" s="348">
        <f t="shared" si="0"/>
        <v>19</v>
      </c>
      <c r="B31" s="348" t="s">
        <v>149</v>
      </c>
      <c r="C31" s="697" t="s">
        <v>1551</v>
      </c>
      <c r="D31" s="697" t="s">
        <v>1552</v>
      </c>
      <c r="E31" s="696" t="s">
        <v>77</v>
      </c>
      <c r="F31" s="704">
        <v>100</v>
      </c>
      <c r="G31" s="696"/>
      <c r="H31" s="145"/>
      <c r="I31" s="148"/>
      <c r="J31" s="148"/>
      <c r="K31" s="148"/>
      <c r="L31" s="145"/>
      <c r="M31" s="145"/>
      <c r="N31" s="145"/>
      <c r="O31" s="145"/>
      <c r="P31" s="145"/>
      <c r="Q31" s="145"/>
    </row>
    <row r="32" spans="1:17" s="68" customFormat="1" ht="37.5" customHeight="1">
      <c r="A32" s="348">
        <f t="shared" si="0"/>
        <v>20</v>
      </c>
      <c r="B32" s="348" t="s">
        <v>149</v>
      </c>
      <c r="C32" s="698" t="s">
        <v>1553</v>
      </c>
      <c r="D32" s="698" t="s">
        <v>1431</v>
      </c>
      <c r="E32" s="696" t="s">
        <v>77</v>
      </c>
      <c r="F32" s="704">
        <v>1500</v>
      </c>
      <c r="G32" s="696"/>
      <c r="H32" s="145"/>
      <c r="I32" s="148"/>
      <c r="J32" s="148"/>
      <c r="K32" s="148"/>
      <c r="L32" s="145"/>
      <c r="M32" s="145"/>
      <c r="N32" s="145"/>
      <c r="O32" s="145"/>
      <c r="P32" s="145"/>
      <c r="Q32" s="145"/>
    </row>
    <row r="33" spans="1:17" s="68" customFormat="1" ht="37.5" customHeight="1">
      <c r="A33" s="348">
        <f t="shared" si="0"/>
        <v>21</v>
      </c>
      <c r="B33" s="348" t="s">
        <v>149</v>
      </c>
      <c r="C33" s="698" t="s">
        <v>1554</v>
      </c>
      <c r="D33" s="698" t="s">
        <v>1431</v>
      </c>
      <c r="E33" s="696" t="s">
        <v>77</v>
      </c>
      <c r="F33" s="704">
        <v>700</v>
      </c>
      <c r="G33" s="696"/>
      <c r="H33" s="145"/>
      <c r="I33" s="148"/>
      <c r="J33" s="148"/>
      <c r="K33" s="148"/>
      <c r="L33" s="145"/>
      <c r="M33" s="145"/>
      <c r="N33" s="145"/>
      <c r="O33" s="145"/>
      <c r="P33" s="145"/>
      <c r="Q33" s="145"/>
    </row>
    <row r="34" spans="1:17" s="68" customFormat="1" ht="15" customHeight="1">
      <c r="A34" s="348">
        <f t="shared" si="0"/>
        <v>22</v>
      </c>
      <c r="B34" s="348" t="s">
        <v>149</v>
      </c>
      <c r="C34" s="698" t="s">
        <v>1555</v>
      </c>
      <c r="D34" s="698"/>
      <c r="E34" s="696" t="s">
        <v>77</v>
      </c>
      <c r="F34" s="704">
        <v>100</v>
      </c>
      <c r="G34" s="696"/>
      <c r="H34" s="145"/>
      <c r="I34" s="148"/>
      <c r="J34" s="148"/>
      <c r="K34" s="148"/>
      <c r="L34" s="145"/>
      <c r="M34" s="145"/>
      <c r="N34" s="145"/>
      <c r="O34" s="145"/>
      <c r="P34" s="145"/>
      <c r="Q34" s="145"/>
    </row>
    <row r="35" spans="1:17" s="68" customFormat="1" ht="27" customHeight="1">
      <c r="A35" s="348">
        <f t="shared" si="0"/>
        <v>23</v>
      </c>
      <c r="B35" s="348" t="s">
        <v>149</v>
      </c>
      <c r="C35" s="698" t="s">
        <v>1556</v>
      </c>
      <c r="D35" s="698" t="s">
        <v>1557</v>
      </c>
      <c r="E35" s="696" t="s">
        <v>90</v>
      </c>
      <c r="F35" s="704">
        <v>1</v>
      </c>
      <c r="G35" s="696"/>
      <c r="H35" s="145"/>
      <c r="I35" s="148"/>
      <c r="J35" s="148"/>
      <c r="K35" s="148"/>
      <c r="L35" s="145"/>
      <c r="M35" s="145"/>
      <c r="N35" s="145"/>
      <c r="O35" s="145"/>
      <c r="P35" s="145"/>
      <c r="Q35" s="145"/>
    </row>
    <row r="36" spans="1:17" s="68" customFormat="1" ht="15" customHeight="1">
      <c r="A36" s="348">
        <f t="shared" si="0"/>
        <v>24</v>
      </c>
      <c r="B36" s="348" t="s">
        <v>149</v>
      </c>
      <c r="C36" s="697" t="s">
        <v>1558</v>
      </c>
      <c r="D36" s="697"/>
      <c r="E36" s="696" t="s">
        <v>90</v>
      </c>
      <c r="F36" s="704">
        <v>15</v>
      </c>
      <c r="G36" s="696"/>
      <c r="H36" s="145"/>
      <c r="I36" s="148"/>
      <c r="J36" s="148"/>
      <c r="K36" s="148"/>
      <c r="L36" s="145"/>
      <c r="M36" s="145"/>
      <c r="N36" s="145"/>
      <c r="O36" s="145"/>
      <c r="P36" s="145"/>
      <c r="Q36" s="145"/>
    </row>
    <row r="37" spans="1:17" s="68" customFormat="1" ht="15" customHeight="1">
      <c r="A37" s="348">
        <f t="shared" si="0"/>
        <v>25</v>
      </c>
      <c r="B37" s="348" t="s">
        <v>149</v>
      </c>
      <c r="C37" s="697" t="s">
        <v>1559</v>
      </c>
      <c r="D37" s="697"/>
      <c r="E37" s="696" t="s">
        <v>90</v>
      </c>
      <c r="F37" s="704">
        <v>1</v>
      </c>
      <c r="G37" s="696"/>
      <c r="H37" s="145"/>
      <c r="I37" s="148"/>
      <c r="J37" s="148"/>
      <c r="K37" s="148"/>
      <c r="L37" s="145"/>
      <c r="M37" s="145"/>
      <c r="N37" s="145"/>
      <c r="O37" s="145"/>
      <c r="P37" s="145"/>
      <c r="Q37" s="145"/>
    </row>
    <row r="38" spans="1:17" s="68" customFormat="1" ht="15" customHeight="1">
      <c r="A38" s="348">
        <f t="shared" si="0"/>
        <v>26</v>
      </c>
      <c r="B38" s="348" t="s">
        <v>149</v>
      </c>
      <c r="C38" s="698" t="s">
        <v>1560</v>
      </c>
      <c r="D38" s="362"/>
      <c r="E38" s="696" t="s">
        <v>93</v>
      </c>
      <c r="F38" s="704">
        <v>1</v>
      </c>
      <c r="G38" s="696"/>
      <c r="H38" s="145"/>
      <c r="I38" s="148"/>
      <c r="J38" s="148"/>
      <c r="K38" s="148"/>
      <c r="L38" s="145"/>
      <c r="M38" s="145"/>
      <c r="N38" s="145"/>
      <c r="O38" s="145"/>
      <c r="P38" s="145"/>
      <c r="Q38" s="145"/>
    </row>
    <row r="39" spans="1:17" s="68" customFormat="1" ht="15" customHeight="1">
      <c r="A39" s="348">
        <f t="shared" si="0"/>
        <v>27</v>
      </c>
      <c r="B39" s="348" t="s">
        <v>149</v>
      </c>
      <c r="C39" s="362" t="s">
        <v>1561</v>
      </c>
      <c r="D39" s="697"/>
      <c r="E39" s="696" t="s">
        <v>93</v>
      </c>
      <c r="F39" s="704">
        <v>1</v>
      </c>
      <c r="G39" s="696"/>
      <c r="H39" s="145"/>
      <c r="I39" s="148"/>
      <c r="J39" s="148"/>
      <c r="K39" s="148"/>
      <c r="L39" s="145"/>
      <c r="M39" s="145"/>
      <c r="N39" s="145"/>
      <c r="O39" s="145"/>
      <c r="P39" s="145"/>
      <c r="Q39" s="145"/>
    </row>
    <row r="40" spans="1:17" s="68" customFormat="1" ht="26.45" customHeight="1">
      <c r="A40" s="348">
        <f t="shared" si="0"/>
        <v>28</v>
      </c>
      <c r="B40" s="348" t="s">
        <v>149</v>
      </c>
      <c r="C40" s="697" t="s">
        <v>1562</v>
      </c>
      <c r="D40" s="697"/>
      <c r="E40" s="696" t="s">
        <v>90</v>
      </c>
      <c r="F40" s="704">
        <v>10</v>
      </c>
      <c r="G40" s="696"/>
      <c r="H40" s="145"/>
      <c r="I40" s="148"/>
      <c r="J40" s="148"/>
      <c r="K40" s="148"/>
      <c r="L40" s="145"/>
      <c r="M40" s="145"/>
      <c r="N40" s="145"/>
      <c r="O40" s="145"/>
      <c r="P40" s="145"/>
      <c r="Q40" s="145"/>
    </row>
    <row r="41" spans="1:17" s="68" customFormat="1" ht="15" customHeight="1">
      <c r="A41" s="348">
        <f t="shared" si="0"/>
        <v>29</v>
      </c>
      <c r="B41" s="348" t="s">
        <v>149</v>
      </c>
      <c r="C41" s="699" t="s">
        <v>1470</v>
      </c>
      <c r="D41" s="700"/>
      <c r="E41" s="696" t="s">
        <v>90</v>
      </c>
      <c r="F41" s="705">
        <v>1</v>
      </c>
      <c r="G41" s="700"/>
      <c r="H41" s="145"/>
      <c r="I41" s="148"/>
      <c r="J41" s="148"/>
      <c r="K41" s="148"/>
      <c r="L41" s="145"/>
      <c r="M41" s="145"/>
      <c r="N41" s="145"/>
      <c r="O41" s="145"/>
      <c r="P41" s="145"/>
      <c r="Q41" s="145"/>
    </row>
    <row r="42" spans="1:17" s="68" customFormat="1" ht="15" customHeight="1">
      <c r="A42" s="348">
        <f t="shared" si="0"/>
        <v>30</v>
      </c>
      <c r="B42" s="348" t="s">
        <v>149</v>
      </c>
      <c r="C42" s="701" t="s">
        <v>1436</v>
      </c>
      <c r="D42" s="700"/>
      <c r="E42" s="696" t="s">
        <v>90</v>
      </c>
      <c r="F42" s="705">
        <v>1</v>
      </c>
      <c r="G42" s="700"/>
      <c r="H42" s="145"/>
      <c r="I42" s="148"/>
      <c r="J42" s="148"/>
      <c r="K42" s="148"/>
      <c r="L42" s="145"/>
      <c r="M42" s="145"/>
      <c r="N42" s="145"/>
      <c r="O42" s="145"/>
      <c r="P42" s="145"/>
      <c r="Q42" s="145"/>
    </row>
    <row r="43" spans="1:17" s="68" customFormat="1" ht="15" customHeight="1">
      <c r="A43" s="348">
        <f t="shared" si="0"/>
        <v>31</v>
      </c>
      <c r="B43" s="348" t="s">
        <v>149</v>
      </c>
      <c r="C43" s="701" t="s">
        <v>1563</v>
      </c>
      <c r="D43" s="700"/>
      <c r="E43" s="696" t="s">
        <v>90</v>
      </c>
      <c r="F43" s="705">
        <v>1</v>
      </c>
      <c r="G43" s="700"/>
      <c r="H43" s="145"/>
      <c r="I43" s="148"/>
      <c r="J43" s="148"/>
      <c r="K43" s="148"/>
      <c r="L43" s="145"/>
      <c r="M43" s="145"/>
      <c r="N43" s="145"/>
      <c r="O43" s="145"/>
      <c r="P43" s="145"/>
      <c r="Q43" s="145"/>
    </row>
    <row r="44" spans="1:17" s="68" customFormat="1" ht="15" customHeight="1">
      <c r="A44" s="366">
        <f t="shared" si="0"/>
        <v>32</v>
      </c>
      <c r="B44" s="366" t="s">
        <v>149</v>
      </c>
      <c r="C44" s="702" t="s">
        <v>1564</v>
      </c>
      <c r="D44" s="368"/>
      <c r="E44" s="368" t="s">
        <v>1565</v>
      </c>
      <c r="F44" s="706">
        <v>3</v>
      </c>
      <c r="G44" s="368"/>
      <c r="H44" s="146"/>
      <c r="I44" s="149"/>
      <c r="J44" s="149"/>
      <c r="K44" s="149"/>
      <c r="L44" s="146"/>
      <c r="M44" s="146"/>
      <c r="N44" s="146"/>
      <c r="O44" s="146"/>
      <c r="P44" s="146"/>
      <c r="Q44" s="146"/>
    </row>
    <row r="45" spans="1:17">
      <c r="A45" s="890" t="s">
        <v>177</v>
      </c>
      <c r="B45" s="890"/>
      <c r="C45" s="890"/>
      <c r="D45" s="890"/>
      <c r="E45" s="890"/>
      <c r="F45" s="890"/>
      <c r="G45" s="890"/>
      <c r="H45" s="890"/>
      <c r="I45" s="890"/>
      <c r="J45" s="890"/>
      <c r="K45" s="890"/>
      <c r="L45" s="890"/>
      <c r="M45" s="131">
        <f>SUM(M13:M44)</f>
        <v>0</v>
      </c>
      <c r="N45" s="131">
        <f t="shared" ref="N45:Q45" si="1">SUM(N13:N44)</f>
        <v>0</v>
      </c>
      <c r="O45" s="131">
        <f t="shared" si="1"/>
        <v>0</v>
      </c>
      <c r="P45" s="131">
        <f t="shared" si="1"/>
        <v>0</v>
      </c>
      <c r="Q45" s="131">
        <f t="shared" si="1"/>
        <v>0</v>
      </c>
    </row>
    <row r="46" spans="1:17" s="50" customFormat="1" collapsed="1">
      <c r="A46" s="885" t="s">
        <v>36</v>
      </c>
      <c r="B46" s="885"/>
      <c r="C46" s="1"/>
      <c r="D46" s="1"/>
      <c r="E46" s="1"/>
      <c r="F46" s="1"/>
      <c r="G46" s="1"/>
      <c r="H46" s="1"/>
      <c r="I46" s="1"/>
      <c r="J46" s="1"/>
      <c r="K46" s="1"/>
      <c r="L46" s="1"/>
      <c r="M46" s="1"/>
      <c r="N46" s="1"/>
      <c r="O46" s="1"/>
      <c r="P46" s="1"/>
      <c r="Q46" s="1"/>
    </row>
    <row r="47" spans="1:17">
      <c r="A47" s="886" t="s">
        <v>56</v>
      </c>
      <c r="B47" s="886"/>
      <c r="C47" s="886"/>
      <c r="D47" s="886"/>
      <c r="E47" s="886"/>
      <c r="F47" s="886"/>
      <c r="G47" s="886"/>
      <c r="H47" s="886"/>
      <c r="I47" s="886"/>
      <c r="J47" s="886"/>
      <c r="K47" s="886"/>
      <c r="L47" s="886"/>
      <c r="M47" s="886"/>
      <c r="N47" s="886"/>
      <c r="O47" s="886"/>
      <c r="P47" s="886"/>
      <c r="Q47" s="886"/>
    </row>
    <row r="48" spans="1:17">
      <c r="A48" s="903"/>
      <c r="B48" s="903"/>
      <c r="C48" s="9"/>
      <c r="D48" s="9"/>
      <c r="E48" s="9"/>
      <c r="F48" s="9"/>
      <c r="G48" s="9"/>
      <c r="H48" s="9"/>
      <c r="I48" s="9"/>
      <c r="J48" s="9"/>
      <c r="K48" s="9"/>
      <c r="L48" s="9"/>
      <c r="M48" s="50">
        <f>Koptame!A58</f>
        <v>0</v>
      </c>
      <c r="N48" s="50"/>
      <c r="O48" s="50"/>
      <c r="P48" s="50"/>
      <c r="Q48" s="50"/>
    </row>
    <row r="49" spans="1:17">
      <c r="A49" s="902" t="s">
        <v>7</v>
      </c>
      <c r="B49" s="902"/>
      <c r="C49" s="307"/>
      <c r="D49" s="307"/>
      <c r="E49" s="9"/>
      <c r="F49" s="9"/>
      <c r="G49" s="9"/>
      <c r="H49" s="9"/>
      <c r="I49" s="9"/>
      <c r="J49" s="9"/>
      <c r="K49" s="9"/>
      <c r="L49" s="9"/>
      <c r="M49" s="307"/>
      <c r="N49" s="81">
        <f>Koptame!B59</f>
        <v>0</v>
      </c>
      <c r="O49" s="81"/>
      <c r="P49" s="50"/>
      <c r="Q49" s="50"/>
    </row>
  </sheetData>
  <mergeCells count="25">
    <mergeCell ref="A1:Q1"/>
    <mergeCell ref="A3:B3"/>
    <mergeCell ref="C3:Q3"/>
    <mergeCell ref="A4:B4"/>
    <mergeCell ref="C4:Q4"/>
    <mergeCell ref="A2:Q2"/>
    <mergeCell ref="A46:B46"/>
    <mergeCell ref="A47:Q47"/>
    <mergeCell ref="A48:B48"/>
    <mergeCell ref="A49:B49"/>
    <mergeCell ref="A45:L45"/>
    <mergeCell ref="A5:B5"/>
    <mergeCell ref="C5:Q5"/>
    <mergeCell ref="A6:B6"/>
    <mergeCell ref="C6:Q6"/>
    <mergeCell ref="A7:B7"/>
    <mergeCell ref="C7:Q7"/>
    <mergeCell ref="G10:L10"/>
    <mergeCell ref="M10:Q10"/>
    <mergeCell ref="A10:A11"/>
    <mergeCell ref="B10:B11"/>
    <mergeCell ref="C10:C11"/>
    <mergeCell ref="E10:E11"/>
    <mergeCell ref="F10:F11"/>
    <mergeCell ref="D10:D11"/>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R39"/>
  <sheetViews>
    <sheetView showZeros="0" zoomScale="75" zoomScaleNormal="75" zoomScaleSheetLayoutView="75" workbookViewId="0">
      <selection sqref="A1:Q1"/>
    </sheetView>
  </sheetViews>
  <sheetFormatPr defaultColWidth="9.140625" defaultRowHeight="15"/>
  <cols>
    <col min="1" max="1" width="9" style="60" customWidth="1"/>
    <col min="2" max="2" width="11.85546875" style="60" customWidth="1"/>
    <col min="3" max="3" width="45.7109375" style="88" customWidth="1"/>
    <col min="4" max="4" width="8" style="88" customWidth="1"/>
    <col min="5" max="12" width="8.7109375" style="60" customWidth="1"/>
    <col min="13" max="17" width="12.7109375" style="60" customWidth="1"/>
    <col min="18" max="16384" width="9.140625" style="60"/>
  </cols>
  <sheetData>
    <row r="1" spans="1:18" s="94" customFormat="1" ht="15.75">
      <c r="A1" s="875" t="s">
        <v>73</v>
      </c>
      <c r="B1" s="875"/>
      <c r="C1" s="875"/>
      <c r="D1" s="875"/>
      <c r="E1" s="875"/>
      <c r="F1" s="875"/>
      <c r="G1" s="875"/>
      <c r="H1" s="875"/>
      <c r="I1" s="875"/>
      <c r="J1" s="875"/>
      <c r="K1" s="875"/>
      <c r="L1" s="875"/>
      <c r="M1" s="875"/>
      <c r="N1" s="875"/>
      <c r="O1" s="875"/>
      <c r="P1" s="875"/>
      <c r="Q1" s="875"/>
    </row>
    <row r="2" spans="1:18" s="59" customFormat="1" ht="15.75">
      <c r="A2" s="899" t="s">
        <v>702</v>
      </c>
      <c r="B2" s="899"/>
      <c r="C2" s="899"/>
      <c r="D2" s="899"/>
      <c r="E2" s="899"/>
      <c r="F2" s="899"/>
      <c r="G2" s="899"/>
      <c r="H2" s="899"/>
      <c r="I2" s="899"/>
      <c r="J2" s="899"/>
      <c r="K2" s="899"/>
      <c r="L2" s="899"/>
      <c r="M2" s="899"/>
      <c r="N2" s="899"/>
      <c r="O2" s="899"/>
      <c r="P2" s="899"/>
      <c r="Q2" s="899"/>
    </row>
    <row r="3" spans="1:18" s="59" customFormat="1" ht="15.75">
      <c r="A3" s="876" t="s">
        <v>10</v>
      </c>
      <c r="B3" s="876"/>
      <c r="C3" s="859" t="s">
        <v>117</v>
      </c>
      <c r="D3" s="859"/>
      <c r="E3" s="859"/>
      <c r="F3" s="859"/>
      <c r="G3" s="859"/>
      <c r="H3" s="859"/>
      <c r="I3" s="859"/>
      <c r="J3" s="859"/>
      <c r="K3" s="859"/>
      <c r="L3" s="859"/>
      <c r="M3" s="859"/>
      <c r="N3" s="859"/>
      <c r="O3" s="859"/>
      <c r="P3" s="859"/>
      <c r="Q3" s="859"/>
    </row>
    <row r="4" spans="1:18" s="59" customFormat="1" ht="15.75">
      <c r="A4" s="876" t="s">
        <v>11</v>
      </c>
      <c r="B4" s="876"/>
      <c r="C4" s="859" t="s">
        <v>118</v>
      </c>
      <c r="D4" s="859"/>
      <c r="E4" s="859"/>
      <c r="F4" s="859"/>
      <c r="G4" s="859"/>
      <c r="H4" s="859"/>
      <c r="I4" s="859"/>
      <c r="J4" s="859"/>
      <c r="K4" s="859"/>
      <c r="L4" s="859"/>
      <c r="M4" s="859"/>
      <c r="N4" s="859"/>
      <c r="O4" s="859"/>
      <c r="P4" s="859"/>
      <c r="Q4" s="859"/>
    </row>
    <row r="5" spans="1:18" s="59" customFormat="1" ht="15.75">
      <c r="A5" s="876" t="s">
        <v>12</v>
      </c>
      <c r="B5" s="876"/>
      <c r="C5" s="859" t="s">
        <v>50</v>
      </c>
      <c r="D5" s="859"/>
      <c r="E5" s="859"/>
      <c r="F5" s="859"/>
      <c r="G5" s="859"/>
      <c r="H5" s="859"/>
      <c r="I5" s="859"/>
      <c r="J5" s="859"/>
      <c r="K5" s="859"/>
      <c r="L5" s="859"/>
      <c r="M5" s="859"/>
      <c r="N5" s="859"/>
      <c r="O5" s="859"/>
      <c r="P5" s="859"/>
      <c r="Q5" s="859"/>
    </row>
    <row r="6" spans="1:18" s="59" customFormat="1" ht="15.75">
      <c r="A6" s="876" t="s">
        <v>30</v>
      </c>
      <c r="B6" s="876"/>
      <c r="C6" s="874"/>
      <c r="D6" s="874"/>
      <c r="E6" s="874"/>
      <c r="F6" s="874"/>
      <c r="G6" s="874"/>
      <c r="H6" s="874"/>
      <c r="I6" s="874"/>
      <c r="J6" s="874"/>
      <c r="K6" s="874"/>
      <c r="L6" s="874"/>
      <c r="M6" s="874"/>
      <c r="N6" s="874"/>
      <c r="O6" s="874"/>
      <c r="P6" s="874"/>
      <c r="Q6" s="874"/>
    </row>
    <row r="7" spans="1:18" s="59" customFormat="1" ht="15.75">
      <c r="A7" s="876" t="s">
        <v>54</v>
      </c>
      <c r="B7" s="876"/>
      <c r="C7" s="873"/>
      <c r="D7" s="873"/>
      <c r="E7" s="873"/>
      <c r="F7" s="873"/>
      <c r="G7" s="873"/>
      <c r="H7" s="873"/>
      <c r="I7" s="873"/>
      <c r="J7" s="873"/>
      <c r="K7" s="873"/>
      <c r="L7" s="873"/>
      <c r="M7" s="873"/>
      <c r="N7" s="873"/>
      <c r="O7" s="873"/>
      <c r="P7" s="873"/>
      <c r="Q7" s="873"/>
    </row>
    <row r="8" spans="1:18" s="59" customFormat="1" ht="15.75">
      <c r="A8" s="73"/>
      <c r="B8" s="73"/>
      <c r="C8" s="73"/>
      <c r="D8" s="73"/>
      <c r="E8" s="73"/>
      <c r="F8" s="73"/>
      <c r="G8" s="73"/>
      <c r="H8" s="73"/>
      <c r="I8" s="73"/>
      <c r="J8" s="73"/>
      <c r="K8" s="73"/>
      <c r="L8" s="73"/>
      <c r="M8" s="66"/>
      <c r="N8" s="66"/>
      <c r="O8" s="74"/>
      <c r="P8" s="63" t="s">
        <v>52</v>
      </c>
      <c r="Q8" s="75">
        <f>Q35</f>
        <v>0</v>
      </c>
    </row>
    <row r="9" spans="1:18" ht="15.75">
      <c r="A9" s="65"/>
      <c r="B9" s="65"/>
      <c r="C9" s="91"/>
      <c r="D9" s="91"/>
      <c r="E9" s="66"/>
      <c r="F9" s="66"/>
      <c r="G9" s="66"/>
      <c r="H9" s="66"/>
      <c r="I9" s="66"/>
      <c r="J9" s="66"/>
      <c r="K9" s="66"/>
      <c r="L9" s="66"/>
      <c r="M9" s="66"/>
      <c r="N9" s="66"/>
      <c r="O9" s="66"/>
      <c r="P9" s="66"/>
      <c r="Q9" s="66"/>
    </row>
    <row r="10" spans="1:18" ht="14.25" customHeight="1">
      <c r="A10" s="893" t="s">
        <v>14</v>
      </c>
      <c r="B10" s="894" t="s">
        <v>21</v>
      </c>
      <c r="C10" s="896" t="s">
        <v>22</v>
      </c>
      <c r="D10" s="922" t="s">
        <v>1776</v>
      </c>
      <c r="E10" s="897" t="s">
        <v>23</v>
      </c>
      <c r="F10" s="893" t="s">
        <v>24</v>
      </c>
      <c r="G10" s="892" t="s">
        <v>25</v>
      </c>
      <c r="H10" s="892"/>
      <c r="I10" s="892"/>
      <c r="J10" s="892"/>
      <c r="K10" s="892"/>
      <c r="L10" s="892"/>
      <c r="M10" s="892" t="s">
        <v>26</v>
      </c>
      <c r="N10" s="892"/>
      <c r="O10" s="892"/>
      <c r="P10" s="892"/>
      <c r="Q10" s="892"/>
    </row>
    <row r="11" spans="1:18" ht="73.5" customHeight="1">
      <c r="A11" s="893"/>
      <c r="B11" s="895"/>
      <c r="C11" s="896"/>
      <c r="D11" s="923"/>
      <c r="E11" s="897"/>
      <c r="F11" s="893"/>
      <c r="G11" s="309" t="s">
        <v>27</v>
      </c>
      <c r="H11" s="309" t="s">
        <v>37</v>
      </c>
      <c r="I11" s="309" t="s">
        <v>38</v>
      </c>
      <c r="J11" s="309" t="s">
        <v>39</v>
      </c>
      <c r="K11" s="309" t="s">
        <v>40</v>
      </c>
      <c r="L11" s="309" t="s">
        <v>41</v>
      </c>
      <c r="M11" s="309" t="s">
        <v>18</v>
      </c>
      <c r="N11" s="309" t="s">
        <v>38</v>
      </c>
      <c r="O11" s="309" t="s">
        <v>39</v>
      </c>
      <c r="P11" s="309" t="s">
        <v>40</v>
      </c>
      <c r="Q11" s="309" t="s">
        <v>42</v>
      </c>
    </row>
    <row r="12" spans="1:18">
      <c r="A12" s="115">
        <v>1</v>
      </c>
      <c r="B12" s="115">
        <v>2</v>
      </c>
      <c r="C12" s="115">
        <v>3</v>
      </c>
      <c r="D12" s="115"/>
      <c r="E12" s="115">
        <v>4</v>
      </c>
      <c r="F12" s="115">
        <v>5</v>
      </c>
      <c r="G12" s="115">
        <v>6</v>
      </c>
      <c r="H12" s="115">
        <v>7</v>
      </c>
      <c r="I12" s="115">
        <v>8</v>
      </c>
      <c r="J12" s="115">
        <v>9</v>
      </c>
      <c r="K12" s="115">
        <v>10</v>
      </c>
      <c r="L12" s="115">
        <v>11</v>
      </c>
      <c r="M12" s="115">
        <v>12</v>
      </c>
      <c r="N12" s="115">
        <v>13</v>
      </c>
      <c r="O12" s="115">
        <v>14</v>
      </c>
      <c r="P12" s="115">
        <v>15</v>
      </c>
      <c r="Q12" s="115">
        <v>16</v>
      </c>
    </row>
    <row r="13" spans="1:18" s="68" customFormat="1">
      <c r="A13" s="370"/>
      <c r="B13" s="370"/>
      <c r="C13" s="502" t="s">
        <v>702</v>
      </c>
      <c r="D13" s="502"/>
      <c r="E13" s="370"/>
      <c r="F13" s="370"/>
      <c r="G13" s="370"/>
      <c r="H13" s="135"/>
      <c r="I13" s="152"/>
      <c r="J13" s="152"/>
      <c r="K13" s="152"/>
      <c r="L13" s="135"/>
      <c r="M13" s="135"/>
      <c r="N13" s="135"/>
      <c r="O13" s="135"/>
      <c r="P13" s="135"/>
      <c r="Q13" s="135"/>
      <c r="R13" s="179"/>
    </row>
    <row r="14" spans="1:18" s="68" customFormat="1" ht="51.75">
      <c r="A14" s="385">
        <v>1</v>
      </c>
      <c r="B14" s="385" t="s">
        <v>149</v>
      </c>
      <c r="C14" s="365" t="s">
        <v>1566</v>
      </c>
      <c r="D14" s="707" t="s">
        <v>1567</v>
      </c>
      <c r="E14" s="396" t="s">
        <v>90</v>
      </c>
      <c r="F14" s="690">
        <v>1</v>
      </c>
      <c r="G14" s="396"/>
      <c r="H14" s="146"/>
      <c r="I14" s="149"/>
      <c r="J14" s="149"/>
      <c r="K14" s="149"/>
      <c r="L14" s="146"/>
      <c r="M14" s="146"/>
      <c r="N14" s="146"/>
      <c r="O14" s="146"/>
      <c r="P14" s="146"/>
      <c r="Q14" s="146"/>
      <c r="R14" s="179"/>
    </row>
    <row r="15" spans="1:18" s="68" customFormat="1" ht="51.75">
      <c r="A15" s="348">
        <f>A14+1</f>
        <v>2</v>
      </c>
      <c r="B15" s="348" t="s">
        <v>149</v>
      </c>
      <c r="C15" s="365" t="s">
        <v>1568</v>
      </c>
      <c r="D15" s="709" t="s">
        <v>1569</v>
      </c>
      <c r="E15" s="355" t="s">
        <v>90</v>
      </c>
      <c r="F15" s="691">
        <v>1</v>
      </c>
      <c r="G15" s="355"/>
      <c r="H15" s="145"/>
      <c r="I15" s="148"/>
      <c r="J15" s="148"/>
      <c r="K15" s="148"/>
      <c r="L15" s="145"/>
      <c r="M15" s="145"/>
      <c r="N15" s="145"/>
      <c r="O15" s="145"/>
      <c r="P15" s="145"/>
      <c r="Q15" s="145"/>
      <c r="R15" s="179"/>
    </row>
    <row r="16" spans="1:18" s="68" customFormat="1" ht="51.75">
      <c r="A16" s="348">
        <f t="shared" ref="A16:A34" si="0">A15+1</f>
        <v>3</v>
      </c>
      <c r="B16" s="348" t="s">
        <v>149</v>
      </c>
      <c r="C16" s="365" t="s">
        <v>1570</v>
      </c>
      <c r="D16" s="709" t="s">
        <v>1571</v>
      </c>
      <c r="E16" s="355" t="s">
        <v>90</v>
      </c>
      <c r="F16" s="691">
        <v>1</v>
      </c>
      <c r="G16" s="355"/>
      <c r="H16" s="145"/>
      <c r="I16" s="148"/>
      <c r="J16" s="148"/>
      <c r="K16" s="148"/>
      <c r="L16" s="145"/>
      <c r="M16" s="145"/>
      <c r="N16" s="145"/>
      <c r="O16" s="145"/>
      <c r="P16" s="145"/>
      <c r="Q16" s="145"/>
      <c r="R16" s="179"/>
    </row>
    <row r="17" spans="1:18" s="68" customFormat="1" ht="51.75">
      <c r="A17" s="348">
        <f t="shared" si="0"/>
        <v>4</v>
      </c>
      <c r="B17" s="348" t="s">
        <v>149</v>
      </c>
      <c r="C17" s="365" t="s">
        <v>1572</v>
      </c>
      <c r="D17" s="709" t="s">
        <v>1573</v>
      </c>
      <c r="E17" s="355" t="s">
        <v>90</v>
      </c>
      <c r="F17" s="691">
        <v>1</v>
      </c>
      <c r="G17" s="355"/>
      <c r="H17" s="145"/>
      <c r="I17" s="148"/>
      <c r="J17" s="148"/>
      <c r="K17" s="148"/>
      <c r="L17" s="145"/>
      <c r="M17" s="145"/>
      <c r="N17" s="145"/>
      <c r="O17" s="145"/>
      <c r="P17" s="145"/>
      <c r="Q17" s="145"/>
      <c r="R17" s="179"/>
    </row>
    <row r="18" spans="1:18" s="68" customFormat="1">
      <c r="A18" s="348">
        <f t="shared" si="0"/>
        <v>5</v>
      </c>
      <c r="B18" s="348" t="s">
        <v>149</v>
      </c>
      <c r="C18" s="708" t="s">
        <v>1574</v>
      </c>
      <c r="D18" s="709"/>
      <c r="E18" s="355" t="s">
        <v>90</v>
      </c>
      <c r="F18" s="691">
        <v>1</v>
      </c>
      <c r="G18" s="355"/>
      <c r="H18" s="145"/>
      <c r="I18" s="148"/>
      <c r="J18" s="148"/>
      <c r="K18" s="148"/>
      <c r="L18" s="145"/>
      <c r="M18" s="145"/>
      <c r="N18" s="145"/>
      <c r="O18" s="145"/>
      <c r="P18" s="145"/>
      <c r="Q18" s="145"/>
      <c r="R18" s="179"/>
    </row>
    <row r="19" spans="1:18" s="68" customFormat="1">
      <c r="A19" s="348">
        <f t="shared" si="0"/>
        <v>6</v>
      </c>
      <c r="B19" s="348" t="s">
        <v>149</v>
      </c>
      <c r="C19" s="710" t="s">
        <v>1575</v>
      </c>
      <c r="D19" s="363" t="s">
        <v>1576</v>
      </c>
      <c r="E19" s="355" t="s">
        <v>90</v>
      </c>
      <c r="F19" s="691">
        <v>1</v>
      </c>
      <c r="G19" s="355"/>
      <c r="H19" s="145"/>
      <c r="I19" s="148"/>
      <c r="J19" s="148"/>
      <c r="K19" s="148"/>
      <c r="L19" s="145"/>
      <c r="M19" s="145"/>
      <c r="N19" s="145"/>
      <c r="O19" s="145"/>
      <c r="P19" s="145"/>
      <c r="Q19" s="145"/>
      <c r="R19" s="179"/>
    </row>
    <row r="20" spans="1:18" s="68" customFormat="1">
      <c r="A20" s="348">
        <f t="shared" si="0"/>
        <v>7</v>
      </c>
      <c r="B20" s="348" t="s">
        <v>149</v>
      </c>
      <c r="C20" s="710" t="s">
        <v>1577</v>
      </c>
      <c r="D20" s="363"/>
      <c r="E20" s="355" t="s">
        <v>93</v>
      </c>
      <c r="F20" s="691">
        <v>3</v>
      </c>
      <c r="G20" s="355"/>
      <c r="H20" s="145"/>
      <c r="I20" s="148"/>
      <c r="J20" s="148"/>
      <c r="K20" s="148"/>
      <c r="L20" s="145"/>
      <c r="M20" s="145"/>
      <c r="N20" s="145"/>
      <c r="O20" s="145"/>
      <c r="P20" s="145"/>
      <c r="Q20" s="145"/>
      <c r="R20" s="179"/>
    </row>
    <row r="21" spans="1:18" s="68" customFormat="1">
      <c r="A21" s="348">
        <f t="shared" si="0"/>
        <v>8</v>
      </c>
      <c r="B21" s="348" t="s">
        <v>149</v>
      </c>
      <c r="C21" s="711" t="s">
        <v>1578</v>
      </c>
      <c r="D21" s="712"/>
      <c r="E21" s="355" t="s">
        <v>93</v>
      </c>
      <c r="F21" s="691">
        <v>1</v>
      </c>
      <c r="G21" s="355"/>
      <c r="H21" s="145"/>
      <c r="I21" s="148"/>
      <c r="J21" s="148"/>
      <c r="K21" s="148"/>
      <c r="L21" s="145"/>
      <c r="M21" s="145"/>
      <c r="N21" s="145"/>
      <c r="O21" s="145"/>
      <c r="P21" s="145"/>
      <c r="Q21" s="145"/>
      <c r="R21" s="179"/>
    </row>
    <row r="22" spans="1:18" s="68" customFormat="1">
      <c r="A22" s="348">
        <f t="shared" si="0"/>
        <v>9</v>
      </c>
      <c r="B22" s="348" t="s">
        <v>149</v>
      </c>
      <c r="C22" s="711" t="s">
        <v>1579</v>
      </c>
      <c r="D22" s="712"/>
      <c r="E22" s="355" t="s">
        <v>93</v>
      </c>
      <c r="F22" s="691">
        <v>1</v>
      </c>
      <c r="G22" s="355"/>
      <c r="H22" s="145"/>
      <c r="I22" s="148"/>
      <c r="J22" s="148"/>
      <c r="K22" s="148"/>
      <c r="L22" s="145"/>
      <c r="M22" s="145"/>
      <c r="N22" s="145"/>
      <c r="O22" s="145"/>
      <c r="P22" s="145"/>
      <c r="Q22" s="145"/>
      <c r="R22" s="179"/>
    </row>
    <row r="23" spans="1:18" s="68" customFormat="1">
      <c r="A23" s="348">
        <f t="shared" si="0"/>
        <v>10</v>
      </c>
      <c r="B23" s="348" t="s">
        <v>149</v>
      </c>
      <c r="C23" s="699" t="s">
        <v>1448</v>
      </c>
      <c r="D23" s="700"/>
      <c r="E23" s="355" t="s">
        <v>90</v>
      </c>
      <c r="F23" s="691">
        <v>1</v>
      </c>
      <c r="G23" s="355"/>
      <c r="H23" s="145"/>
      <c r="I23" s="148"/>
      <c r="J23" s="148"/>
      <c r="K23" s="148"/>
      <c r="L23" s="145"/>
      <c r="M23" s="145"/>
      <c r="N23" s="145"/>
      <c r="O23" s="145"/>
      <c r="P23" s="145"/>
      <c r="Q23" s="145"/>
      <c r="R23" s="179"/>
    </row>
    <row r="24" spans="1:18" s="68" customFormat="1" ht="26.25">
      <c r="A24" s="348">
        <f t="shared" si="0"/>
        <v>11</v>
      </c>
      <c r="B24" s="348" t="s">
        <v>149</v>
      </c>
      <c r="C24" s="365" t="s">
        <v>1580</v>
      </c>
      <c r="D24" s="709" t="s">
        <v>1581</v>
      </c>
      <c r="E24" s="355" t="s">
        <v>93</v>
      </c>
      <c r="F24" s="691">
        <v>128</v>
      </c>
      <c r="G24" s="355"/>
      <c r="H24" s="145"/>
      <c r="I24" s="148"/>
      <c r="J24" s="148"/>
      <c r="K24" s="148"/>
      <c r="L24" s="145"/>
      <c r="M24" s="145"/>
      <c r="N24" s="145"/>
      <c r="O24" s="145"/>
      <c r="P24" s="145"/>
      <c r="Q24" s="145"/>
      <c r="R24" s="179"/>
    </row>
    <row r="25" spans="1:18" s="68" customFormat="1" ht="90">
      <c r="A25" s="348">
        <f t="shared" si="0"/>
        <v>12</v>
      </c>
      <c r="B25" s="348" t="s">
        <v>149</v>
      </c>
      <c r="C25" s="365" t="s">
        <v>1582</v>
      </c>
      <c r="D25" s="709" t="s">
        <v>1583</v>
      </c>
      <c r="E25" s="355" t="s">
        <v>93</v>
      </c>
      <c r="F25" s="691">
        <f>SUM(F24:F24)</f>
        <v>128</v>
      </c>
      <c r="G25" s="355"/>
      <c r="H25" s="145"/>
      <c r="I25" s="148"/>
      <c r="J25" s="148"/>
      <c r="K25" s="148"/>
      <c r="L25" s="145"/>
      <c r="M25" s="145"/>
      <c r="N25" s="145"/>
      <c r="O25" s="145"/>
      <c r="P25" s="145"/>
      <c r="Q25" s="145"/>
      <c r="R25" s="179"/>
    </row>
    <row r="26" spans="1:18" s="68" customFormat="1" ht="26.25">
      <c r="A26" s="348">
        <f t="shared" si="0"/>
        <v>13</v>
      </c>
      <c r="B26" s="348" t="s">
        <v>149</v>
      </c>
      <c r="C26" s="365" t="s">
        <v>1584</v>
      </c>
      <c r="D26" s="709" t="s">
        <v>1585</v>
      </c>
      <c r="E26" s="355" t="s">
        <v>93</v>
      </c>
      <c r="F26" s="691">
        <v>20</v>
      </c>
      <c r="G26" s="355"/>
      <c r="H26" s="145"/>
      <c r="I26" s="148"/>
      <c r="J26" s="148"/>
      <c r="K26" s="148"/>
      <c r="L26" s="145"/>
      <c r="M26" s="145"/>
      <c r="N26" s="145"/>
      <c r="O26" s="145"/>
      <c r="P26" s="145"/>
      <c r="Q26" s="145"/>
      <c r="R26" s="179"/>
    </row>
    <row r="27" spans="1:18" s="68" customFormat="1" ht="51.75">
      <c r="A27" s="348">
        <f t="shared" si="0"/>
        <v>14</v>
      </c>
      <c r="B27" s="348" t="s">
        <v>149</v>
      </c>
      <c r="C27" s="365" t="s">
        <v>1586</v>
      </c>
      <c r="D27" s="709" t="s">
        <v>1587</v>
      </c>
      <c r="E27" s="355" t="s">
        <v>77</v>
      </c>
      <c r="F27" s="691">
        <v>3000</v>
      </c>
      <c r="G27" s="355"/>
      <c r="H27" s="145"/>
      <c r="I27" s="148"/>
      <c r="J27" s="148"/>
      <c r="K27" s="148"/>
      <c r="L27" s="145"/>
      <c r="M27" s="145"/>
      <c r="N27" s="145"/>
      <c r="O27" s="145"/>
      <c r="P27" s="145"/>
      <c r="Q27" s="145"/>
      <c r="R27" s="179"/>
    </row>
    <row r="28" spans="1:18" s="68" customFormat="1" ht="39">
      <c r="A28" s="348">
        <f t="shared" si="0"/>
        <v>15</v>
      </c>
      <c r="B28" s="348" t="s">
        <v>149</v>
      </c>
      <c r="C28" s="365" t="s">
        <v>1588</v>
      </c>
      <c r="D28" s="709" t="s">
        <v>1589</v>
      </c>
      <c r="E28" s="355" t="s">
        <v>77</v>
      </c>
      <c r="F28" s="691">
        <v>50</v>
      </c>
      <c r="G28" s="355"/>
      <c r="H28" s="145"/>
      <c r="I28" s="148"/>
      <c r="J28" s="148"/>
      <c r="K28" s="148"/>
      <c r="L28" s="145"/>
      <c r="M28" s="145"/>
      <c r="N28" s="145"/>
      <c r="O28" s="145"/>
      <c r="P28" s="145"/>
      <c r="Q28" s="145"/>
      <c r="R28" s="179"/>
    </row>
    <row r="29" spans="1:18" s="68" customFormat="1" ht="26.25">
      <c r="A29" s="348">
        <f t="shared" si="0"/>
        <v>16</v>
      </c>
      <c r="B29" s="348" t="s">
        <v>149</v>
      </c>
      <c r="C29" s="365" t="s">
        <v>1590</v>
      </c>
      <c r="D29" s="709" t="s">
        <v>1591</v>
      </c>
      <c r="E29" s="355" t="s">
        <v>90</v>
      </c>
      <c r="F29" s="691">
        <v>1</v>
      </c>
      <c r="G29" s="355"/>
      <c r="H29" s="145"/>
      <c r="I29" s="148"/>
      <c r="J29" s="148"/>
      <c r="K29" s="148"/>
      <c r="L29" s="145"/>
      <c r="M29" s="145"/>
      <c r="N29" s="145"/>
      <c r="O29" s="145"/>
      <c r="P29" s="145"/>
      <c r="Q29" s="145"/>
      <c r="R29" s="179"/>
    </row>
    <row r="30" spans="1:18" s="68" customFormat="1">
      <c r="A30" s="348">
        <f t="shared" si="0"/>
        <v>17</v>
      </c>
      <c r="B30" s="348" t="s">
        <v>149</v>
      </c>
      <c r="C30" s="708" t="s">
        <v>1592</v>
      </c>
      <c r="D30" s="709" t="s">
        <v>1593</v>
      </c>
      <c r="E30" s="355" t="s">
        <v>93</v>
      </c>
      <c r="F30" s="691">
        <v>2</v>
      </c>
      <c r="G30" s="355"/>
      <c r="H30" s="145"/>
      <c r="I30" s="148"/>
      <c r="J30" s="148"/>
      <c r="K30" s="148"/>
      <c r="L30" s="145"/>
      <c r="M30" s="145"/>
      <c r="N30" s="145"/>
      <c r="O30" s="145"/>
      <c r="P30" s="145"/>
      <c r="Q30" s="145"/>
      <c r="R30" s="179"/>
    </row>
    <row r="31" spans="1:18" s="68" customFormat="1" ht="39">
      <c r="A31" s="348">
        <f t="shared" si="0"/>
        <v>18</v>
      </c>
      <c r="B31" s="348" t="s">
        <v>149</v>
      </c>
      <c r="C31" s="365" t="s">
        <v>1594</v>
      </c>
      <c r="D31" s="709" t="s">
        <v>1595</v>
      </c>
      <c r="E31" s="355" t="s">
        <v>77</v>
      </c>
      <c r="F31" s="691">
        <v>1200</v>
      </c>
      <c r="G31" s="355"/>
      <c r="H31" s="145"/>
      <c r="I31" s="148"/>
      <c r="J31" s="148"/>
      <c r="K31" s="148"/>
      <c r="L31" s="145"/>
      <c r="M31" s="145"/>
      <c r="N31" s="145"/>
      <c r="O31" s="145"/>
      <c r="P31" s="145"/>
      <c r="Q31" s="145"/>
      <c r="R31" s="179"/>
    </row>
    <row r="32" spans="1:18" s="68" customFormat="1" ht="39">
      <c r="A32" s="348">
        <f t="shared" si="0"/>
        <v>19</v>
      </c>
      <c r="B32" s="348" t="s">
        <v>149</v>
      </c>
      <c r="C32" s="365" t="s">
        <v>1596</v>
      </c>
      <c r="D32" s="709" t="s">
        <v>1595</v>
      </c>
      <c r="E32" s="355" t="s">
        <v>77</v>
      </c>
      <c r="F32" s="691">
        <v>600</v>
      </c>
      <c r="G32" s="355"/>
      <c r="H32" s="145"/>
      <c r="I32" s="148"/>
      <c r="J32" s="148"/>
      <c r="K32" s="148"/>
      <c r="L32" s="145"/>
      <c r="M32" s="145"/>
      <c r="N32" s="145"/>
      <c r="O32" s="145"/>
      <c r="P32" s="145"/>
      <c r="Q32" s="145"/>
      <c r="R32" s="179"/>
    </row>
    <row r="33" spans="1:18" s="68" customFormat="1">
      <c r="A33" s="348">
        <f t="shared" si="0"/>
        <v>20</v>
      </c>
      <c r="B33" s="348" t="s">
        <v>149</v>
      </c>
      <c r="C33" s="699" t="s">
        <v>1433</v>
      </c>
      <c r="D33" s="700" t="s">
        <v>1597</v>
      </c>
      <c r="E33" s="355" t="s">
        <v>90</v>
      </c>
      <c r="F33" s="691">
        <v>1</v>
      </c>
      <c r="G33" s="355"/>
      <c r="H33" s="145"/>
      <c r="I33" s="148"/>
      <c r="J33" s="148"/>
      <c r="K33" s="148"/>
      <c r="L33" s="145"/>
      <c r="M33" s="145"/>
      <c r="N33" s="145"/>
      <c r="O33" s="145"/>
      <c r="P33" s="145"/>
      <c r="Q33" s="145"/>
      <c r="R33" s="179"/>
    </row>
    <row r="34" spans="1:18" s="68" customFormat="1">
      <c r="A34" s="366">
        <f t="shared" si="0"/>
        <v>21</v>
      </c>
      <c r="B34" s="366" t="s">
        <v>149</v>
      </c>
      <c r="C34" s="713" t="s">
        <v>982</v>
      </c>
      <c r="D34" s="714"/>
      <c r="E34" s="416" t="s">
        <v>90</v>
      </c>
      <c r="F34" s="692">
        <v>1</v>
      </c>
      <c r="G34" s="416"/>
      <c r="H34" s="153"/>
      <c r="I34" s="284"/>
      <c r="J34" s="284"/>
      <c r="K34" s="284"/>
      <c r="L34" s="153"/>
      <c r="M34" s="153"/>
      <c r="N34" s="153"/>
      <c r="O34" s="153"/>
      <c r="P34" s="153"/>
      <c r="Q34" s="153"/>
      <c r="R34" s="179"/>
    </row>
    <row r="35" spans="1:18">
      <c r="A35" s="890" t="s">
        <v>177</v>
      </c>
      <c r="B35" s="890"/>
      <c r="C35" s="890"/>
      <c r="D35" s="890"/>
      <c r="E35" s="890"/>
      <c r="F35" s="890"/>
      <c r="G35" s="890"/>
      <c r="H35" s="890"/>
      <c r="I35" s="890"/>
      <c r="J35" s="890"/>
      <c r="K35" s="890"/>
      <c r="L35" s="890"/>
      <c r="M35" s="131">
        <f>SUM(M14:M34)</f>
        <v>0</v>
      </c>
      <c r="N35" s="131">
        <f t="shared" ref="N35:Q35" si="1">SUM(N14:N34)</f>
        <v>0</v>
      </c>
      <c r="O35" s="131">
        <f t="shared" si="1"/>
        <v>0</v>
      </c>
      <c r="P35" s="131">
        <f t="shared" si="1"/>
        <v>0</v>
      </c>
      <c r="Q35" s="131">
        <f t="shared" si="1"/>
        <v>0</v>
      </c>
    </row>
    <row r="36" spans="1:18" s="50" customFormat="1" collapsed="1">
      <c r="A36" s="885" t="s">
        <v>36</v>
      </c>
      <c r="B36" s="885"/>
      <c r="C36" s="1"/>
      <c r="D36" s="1"/>
      <c r="E36" s="1"/>
      <c r="F36" s="1"/>
      <c r="G36" s="1"/>
      <c r="H36" s="1"/>
      <c r="I36" s="1"/>
      <c r="J36" s="1"/>
      <c r="K36" s="1"/>
      <c r="L36" s="1"/>
      <c r="M36" s="1"/>
      <c r="N36" s="1"/>
      <c r="O36" s="1"/>
      <c r="P36" s="1"/>
      <c r="Q36" s="1"/>
    </row>
    <row r="37" spans="1:18">
      <c r="A37" s="886" t="s">
        <v>56</v>
      </c>
      <c r="B37" s="886"/>
      <c r="C37" s="886"/>
      <c r="D37" s="886"/>
      <c r="E37" s="886"/>
      <c r="F37" s="886"/>
      <c r="G37" s="886"/>
      <c r="H37" s="886"/>
      <c r="I37" s="886"/>
      <c r="J37" s="886"/>
      <c r="K37" s="886"/>
      <c r="L37" s="886"/>
      <c r="M37" s="886"/>
      <c r="N37" s="886"/>
      <c r="O37" s="886"/>
      <c r="P37" s="886"/>
      <c r="Q37" s="886"/>
    </row>
    <row r="38" spans="1:18">
      <c r="A38" s="903"/>
      <c r="B38" s="903"/>
      <c r="C38" s="9"/>
      <c r="D38" s="9"/>
      <c r="E38" s="9"/>
      <c r="F38" s="9"/>
      <c r="G38" s="9"/>
      <c r="H38" s="9"/>
      <c r="I38" s="9"/>
      <c r="J38" s="9"/>
      <c r="K38" s="9"/>
      <c r="L38" s="9"/>
      <c r="M38" s="50">
        <f>Koptame!A55</f>
        <v>0</v>
      </c>
      <c r="N38" s="50"/>
      <c r="O38" s="50"/>
      <c r="P38" s="50"/>
      <c r="Q38" s="50"/>
    </row>
    <row r="39" spans="1:18">
      <c r="A39" s="902" t="s">
        <v>7</v>
      </c>
      <c r="B39" s="902"/>
      <c r="C39" s="307"/>
      <c r="D39" s="307"/>
      <c r="E39" s="9"/>
      <c r="F39" s="9"/>
      <c r="G39" s="9"/>
      <c r="H39" s="9"/>
      <c r="I39" s="9"/>
      <c r="J39" s="9"/>
      <c r="K39" s="9"/>
      <c r="L39" s="9"/>
      <c r="M39" s="307"/>
      <c r="N39" s="81">
        <f>Koptame!B56</f>
        <v>0</v>
      </c>
      <c r="O39" s="81"/>
      <c r="P39" s="50"/>
      <c r="Q39" s="50"/>
    </row>
  </sheetData>
  <mergeCells count="25">
    <mergeCell ref="A1:Q1"/>
    <mergeCell ref="A3:B3"/>
    <mergeCell ref="C3:Q3"/>
    <mergeCell ref="A4:B4"/>
    <mergeCell ref="C4:Q4"/>
    <mergeCell ref="A2:Q2"/>
    <mergeCell ref="A36:B36"/>
    <mergeCell ref="A37:Q37"/>
    <mergeCell ref="A38:B38"/>
    <mergeCell ref="A39:B39"/>
    <mergeCell ref="A35:L35"/>
    <mergeCell ref="A5:B5"/>
    <mergeCell ref="C5:Q5"/>
    <mergeCell ref="A6:B6"/>
    <mergeCell ref="C6:Q6"/>
    <mergeCell ref="A7:B7"/>
    <mergeCell ref="C7:Q7"/>
    <mergeCell ref="G10:L10"/>
    <mergeCell ref="M10:Q10"/>
    <mergeCell ref="A10:A11"/>
    <mergeCell ref="B10:B11"/>
    <mergeCell ref="C10:C11"/>
    <mergeCell ref="E10:E11"/>
    <mergeCell ref="F10:F11"/>
    <mergeCell ref="D10:D11"/>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Q63"/>
  <sheetViews>
    <sheetView showZeros="0" zoomScale="75" zoomScaleNormal="75" zoomScaleSheetLayoutView="80" workbookViewId="0">
      <selection sqref="A1:Q1"/>
    </sheetView>
  </sheetViews>
  <sheetFormatPr defaultColWidth="9.140625" defaultRowHeight="15"/>
  <cols>
    <col min="1" max="1" width="8.85546875" style="60" customWidth="1"/>
    <col min="2" max="2" width="11.7109375" style="60" customWidth="1"/>
    <col min="3" max="3" width="45.7109375" style="88" customWidth="1"/>
    <col min="4" max="4" width="8" style="88" customWidth="1"/>
    <col min="5" max="12" width="8.7109375" style="60" customWidth="1"/>
    <col min="13" max="17" width="12.7109375" style="60" customWidth="1"/>
    <col min="18" max="16384" width="9.140625" style="60"/>
  </cols>
  <sheetData>
    <row r="1" spans="1:17" s="59" customFormat="1" ht="15.75">
      <c r="A1" s="875" t="s">
        <v>74</v>
      </c>
      <c r="B1" s="875"/>
      <c r="C1" s="875"/>
      <c r="D1" s="875"/>
      <c r="E1" s="875"/>
      <c r="F1" s="875"/>
      <c r="G1" s="875"/>
      <c r="H1" s="875"/>
      <c r="I1" s="875"/>
      <c r="J1" s="875"/>
      <c r="K1" s="875"/>
      <c r="L1" s="875"/>
      <c r="M1" s="875"/>
      <c r="N1" s="875"/>
      <c r="O1" s="875"/>
      <c r="P1" s="875"/>
      <c r="Q1" s="875"/>
    </row>
    <row r="2" spans="1:17" s="59" customFormat="1" ht="15.75">
      <c r="A2" s="899" t="s">
        <v>704</v>
      </c>
      <c r="B2" s="899"/>
      <c r="C2" s="899"/>
      <c r="D2" s="899"/>
      <c r="E2" s="899"/>
      <c r="F2" s="899"/>
      <c r="G2" s="899"/>
      <c r="H2" s="899"/>
      <c r="I2" s="899"/>
      <c r="J2" s="899"/>
      <c r="K2" s="899"/>
      <c r="L2" s="899"/>
      <c r="M2" s="899"/>
      <c r="N2" s="899"/>
      <c r="O2" s="899"/>
      <c r="P2" s="899"/>
      <c r="Q2" s="899"/>
    </row>
    <row r="3" spans="1:17" s="59" customFormat="1" ht="15.75">
      <c r="A3" s="876" t="s">
        <v>10</v>
      </c>
      <c r="B3" s="876"/>
      <c r="C3" s="859" t="s">
        <v>117</v>
      </c>
      <c r="D3" s="859"/>
      <c r="E3" s="859"/>
      <c r="F3" s="859"/>
      <c r="G3" s="859"/>
      <c r="H3" s="859"/>
      <c r="I3" s="859"/>
      <c r="J3" s="859"/>
      <c r="K3" s="859"/>
      <c r="L3" s="859"/>
      <c r="M3" s="859"/>
      <c r="N3" s="859"/>
      <c r="O3" s="859"/>
      <c r="P3" s="859"/>
      <c r="Q3" s="859"/>
    </row>
    <row r="4" spans="1:17" s="59" customFormat="1" ht="15.75">
      <c r="A4" s="876" t="s">
        <v>11</v>
      </c>
      <c r="B4" s="876"/>
      <c r="C4" s="859" t="s">
        <v>118</v>
      </c>
      <c r="D4" s="859"/>
      <c r="E4" s="859"/>
      <c r="F4" s="859"/>
      <c r="G4" s="859"/>
      <c r="H4" s="859"/>
      <c r="I4" s="859"/>
      <c r="J4" s="859"/>
      <c r="K4" s="859"/>
      <c r="L4" s="859"/>
      <c r="M4" s="859"/>
      <c r="N4" s="859"/>
      <c r="O4" s="859"/>
      <c r="P4" s="859"/>
      <c r="Q4" s="859"/>
    </row>
    <row r="5" spans="1:17" s="59" customFormat="1" ht="15.75">
      <c r="A5" s="876" t="s">
        <v>12</v>
      </c>
      <c r="B5" s="876"/>
      <c r="C5" s="859" t="s">
        <v>50</v>
      </c>
      <c r="D5" s="859"/>
      <c r="E5" s="859"/>
      <c r="F5" s="859"/>
      <c r="G5" s="859"/>
      <c r="H5" s="859"/>
      <c r="I5" s="859"/>
      <c r="J5" s="859"/>
      <c r="K5" s="859"/>
      <c r="L5" s="859"/>
      <c r="M5" s="859"/>
      <c r="N5" s="859"/>
      <c r="O5" s="859"/>
      <c r="P5" s="859"/>
      <c r="Q5" s="859"/>
    </row>
    <row r="6" spans="1:17" s="59" customFormat="1" ht="15.75">
      <c r="A6" s="876" t="s">
        <v>30</v>
      </c>
      <c r="B6" s="876"/>
      <c r="C6" s="874"/>
      <c r="D6" s="874"/>
      <c r="E6" s="874"/>
      <c r="F6" s="874"/>
      <c r="G6" s="874"/>
      <c r="H6" s="874"/>
      <c r="I6" s="874"/>
      <c r="J6" s="874"/>
      <c r="K6" s="874"/>
      <c r="L6" s="874"/>
      <c r="M6" s="874"/>
      <c r="N6" s="874"/>
      <c r="O6" s="874"/>
      <c r="P6" s="874"/>
      <c r="Q6" s="874"/>
    </row>
    <row r="7" spans="1:17" s="59" customFormat="1" ht="15.75">
      <c r="A7" s="876" t="s">
        <v>54</v>
      </c>
      <c r="B7" s="876"/>
      <c r="C7" s="873"/>
      <c r="D7" s="873"/>
      <c r="E7" s="873"/>
      <c r="F7" s="873"/>
      <c r="G7" s="873"/>
      <c r="H7" s="873"/>
      <c r="I7" s="873"/>
      <c r="J7" s="873"/>
      <c r="K7" s="873"/>
      <c r="L7" s="873"/>
      <c r="M7" s="873"/>
      <c r="N7" s="873"/>
      <c r="O7" s="873"/>
      <c r="P7" s="873"/>
      <c r="Q7" s="873"/>
    </row>
    <row r="8" spans="1:17" s="59" customFormat="1" ht="15.75">
      <c r="A8" s="73"/>
      <c r="B8" s="73"/>
      <c r="C8" s="73"/>
      <c r="D8" s="73"/>
      <c r="E8" s="73"/>
      <c r="F8" s="73"/>
      <c r="G8" s="73"/>
      <c r="H8" s="73"/>
      <c r="I8" s="73"/>
      <c r="J8" s="73"/>
      <c r="K8" s="73"/>
      <c r="L8" s="73"/>
      <c r="M8" s="66"/>
      <c r="N8" s="66"/>
      <c r="O8" s="74"/>
      <c r="P8" s="63" t="s">
        <v>52</v>
      </c>
      <c r="Q8" s="75">
        <f>Q59</f>
        <v>0</v>
      </c>
    </row>
    <row r="9" spans="1:17" ht="15.75">
      <c r="A9" s="65"/>
      <c r="B9" s="65"/>
      <c r="C9" s="91"/>
      <c r="D9" s="91"/>
      <c r="E9" s="66"/>
      <c r="F9" s="66"/>
      <c r="G9" s="66"/>
      <c r="H9" s="66"/>
      <c r="I9" s="66"/>
      <c r="J9" s="66"/>
      <c r="K9" s="66"/>
      <c r="L9" s="66"/>
      <c r="M9" s="66"/>
      <c r="N9" s="66"/>
      <c r="O9" s="66"/>
      <c r="P9" s="66"/>
      <c r="Q9" s="66"/>
    </row>
    <row r="10" spans="1:17" ht="14.25" customHeight="1">
      <c r="A10" s="893" t="s">
        <v>14</v>
      </c>
      <c r="B10" s="894" t="s">
        <v>21</v>
      </c>
      <c r="C10" s="896" t="s">
        <v>22</v>
      </c>
      <c r="D10" s="922" t="s">
        <v>1776</v>
      </c>
      <c r="E10" s="897" t="s">
        <v>23</v>
      </c>
      <c r="F10" s="893" t="s">
        <v>24</v>
      </c>
      <c r="G10" s="892" t="s">
        <v>25</v>
      </c>
      <c r="H10" s="892"/>
      <c r="I10" s="892"/>
      <c r="J10" s="892"/>
      <c r="K10" s="892"/>
      <c r="L10" s="892"/>
      <c r="M10" s="892" t="s">
        <v>26</v>
      </c>
      <c r="N10" s="892"/>
      <c r="O10" s="892"/>
      <c r="P10" s="892"/>
      <c r="Q10" s="892"/>
    </row>
    <row r="11" spans="1:17" ht="74.25" customHeight="1">
      <c r="A11" s="893"/>
      <c r="B11" s="895"/>
      <c r="C11" s="896"/>
      <c r="D11" s="923"/>
      <c r="E11" s="897"/>
      <c r="F11" s="893"/>
      <c r="G11" s="309" t="s">
        <v>27</v>
      </c>
      <c r="H11" s="309" t="s">
        <v>37</v>
      </c>
      <c r="I11" s="309" t="s">
        <v>38</v>
      </c>
      <c r="J11" s="309" t="s">
        <v>39</v>
      </c>
      <c r="K11" s="309" t="s">
        <v>40</v>
      </c>
      <c r="L11" s="309" t="s">
        <v>41</v>
      </c>
      <c r="M11" s="309" t="s">
        <v>18</v>
      </c>
      <c r="N11" s="309" t="s">
        <v>38</v>
      </c>
      <c r="O11" s="309" t="s">
        <v>39</v>
      </c>
      <c r="P11" s="309" t="s">
        <v>40</v>
      </c>
      <c r="Q11" s="309" t="s">
        <v>42</v>
      </c>
    </row>
    <row r="12" spans="1:17">
      <c r="A12" s="115">
        <v>1</v>
      </c>
      <c r="B12" s="115">
        <v>2</v>
      </c>
      <c r="C12" s="115">
        <v>3</v>
      </c>
      <c r="D12" s="115"/>
      <c r="E12" s="115">
        <v>4</v>
      </c>
      <c r="F12" s="115">
        <v>5</v>
      </c>
      <c r="G12" s="115">
        <v>6</v>
      </c>
      <c r="H12" s="115">
        <v>7</v>
      </c>
      <c r="I12" s="115">
        <v>8</v>
      </c>
      <c r="J12" s="115">
        <v>9</v>
      </c>
      <c r="K12" s="115">
        <v>10</v>
      </c>
      <c r="L12" s="115">
        <v>11</v>
      </c>
      <c r="M12" s="115">
        <v>12</v>
      </c>
      <c r="N12" s="115">
        <v>13</v>
      </c>
      <c r="O12" s="115">
        <v>14</v>
      </c>
      <c r="P12" s="115">
        <v>15</v>
      </c>
      <c r="Q12" s="115">
        <v>16</v>
      </c>
    </row>
    <row r="13" spans="1:17" s="68" customFormat="1">
      <c r="A13" s="500"/>
      <c r="B13" s="500"/>
      <c r="C13" s="715" t="s">
        <v>1598</v>
      </c>
      <c r="D13" s="715"/>
      <c r="E13" s="716"/>
      <c r="F13" s="716"/>
      <c r="G13" s="717"/>
      <c r="H13" s="135"/>
      <c r="I13" s="152"/>
      <c r="J13" s="152"/>
      <c r="K13" s="152"/>
      <c r="L13" s="135"/>
      <c r="M13" s="135"/>
      <c r="N13" s="135"/>
      <c r="O13" s="135"/>
      <c r="P13" s="135"/>
      <c r="Q13" s="135"/>
    </row>
    <row r="14" spans="1:17" s="68" customFormat="1" ht="24.75">
      <c r="A14" s="387">
        <v>1</v>
      </c>
      <c r="B14" s="387" t="s">
        <v>149</v>
      </c>
      <c r="C14" s="386" t="s">
        <v>1599</v>
      </c>
      <c r="D14" s="641" t="s">
        <v>1600</v>
      </c>
      <c r="E14" s="486" t="s">
        <v>90</v>
      </c>
      <c r="F14" s="726">
        <v>1</v>
      </c>
      <c r="G14" s="718"/>
      <c r="H14" s="146"/>
      <c r="I14" s="149"/>
      <c r="J14" s="149"/>
      <c r="K14" s="149"/>
      <c r="L14" s="146"/>
      <c r="M14" s="146"/>
      <c r="N14" s="146"/>
      <c r="O14" s="146"/>
      <c r="P14" s="146"/>
      <c r="Q14" s="146"/>
    </row>
    <row r="15" spans="1:17" s="68" customFormat="1" ht="24.75">
      <c r="A15" s="378">
        <v>2</v>
      </c>
      <c r="B15" s="378" t="s">
        <v>149</v>
      </c>
      <c r="C15" s="377" t="s">
        <v>1601</v>
      </c>
      <c r="D15" s="642" t="s">
        <v>1602</v>
      </c>
      <c r="E15" s="464" t="s">
        <v>93</v>
      </c>
      <c r="F15" s="582">
        <v>1</v>
      </c>
      <c r="G15" s="566"/>
      <c r="H15" s="145"/>
      <c r="I15" s="148"/>
      <c r="J15" s="148"/>
      <c r="K15" s="148"/>
      <c r="L15" s="145"/>
      <c r="M15" s="145"/>
      <c r="N15" s="145"/>
      <c r="O15" s="145"/>
      <c r="P15" s="145"/>
      <c r="Q15" s="145"/>
    </row>
    <row r="16" spans="1:17" s="68" customFormat="1" ht="24.75">
      <c r="A16" s="378">
        <v>3</v>
      </c>
      <c r="B16" s="378" t="s">
        <v>149</v>
      </c>
      <c r="C16" s="377" t="s">
        <v>1603</v>
      </c>
      <c r="D16" s="642" t="s">
        <v>1604</v>
      </c>
      <c r="E16" s="464" t="s">
        <v>93</v>
      </c>
      <c r="F16" s="582">
        <v>2</v>
      </c>
      <c r="G16" s="566"/>
      <c r="H16" s="145"/>
      <c r="I16" s="148"/>
      <c r="J16" s="148"/>
      <c r="K16" s="148"/>
      <c r="L16" s="145"/>
      <c r="M16" s="145"/>
      <c r="N16" s="145"/>
      <c r="O16" s="145"/>
      <c r="P16" s="145"/>
      <c r="Q16" s="145"/>
    </row>
    <row r="17" spans="1:17" s="68" customFormat="1">
      <c r="A17" s="378">
        <v>4</v>
      </c>
      <c r="B17" s="378" t="s">
        <v>149</v>
      </c>
      <c r="C17" s="377" t="s">
        <v>1605</v>
      </c>
      <c r="D17" s="642" t="s">
        <v>1606</v>
      </c>
      <c r="E17" s="464" t="s">
        <v>93</v>
      </c>
      <c r="F17" s="582">
        <v>1</v>
      </c>
      <c r="G17" s="566"/>
      <c r="H17" s="145"/>
      <c r="I17" s="148"/>
      <c r="J17" s="148"/>
      <c r="K17" s="148"/>
      <c r="L17" s="145"/>
      <c r="M17" s="145"/>
      <c r="N17" s="145"/>
      <c r="O17" s="145"/>
      <c r="P17" s="145"/>
      <c r="Q17" s="145"/>
    </row>
    <row r="18" spans="1:17" s="68" customFormat="1">
      <c r="A18" s="378">
        <v>5</v>
      </c>
      <c r="B18" s="378" t="s">
        <v>149</v>
      </c>
      <c r="C18" s="377" t="s">
        <v>1607</v>
      </c>
      <c r="D18" s="642" t="s">
        <v>1606</v>
      </c>
      <c r="E18" s="464" t="s">
        <v>93</v>
      </c>
      <c r="F18" s="582">
        <v>1</v>
      </c>
      <c r="G18" s="566"/>
      <c r="H18" s="145"/>
      <c r="I18" s="148"/>
      <c r="J18" s="148"/>
      <c r="K18" s="148"/>
      <c r="L18" s="145"/>
      <c r="M18" s="145"/>
      <c r="N18" s="145"/>
      <c r="O18" s="145"/>
      <c r="P18" s="145"/>
      <c r="Q18" s="145"/>
    </row>
    <row r="19" spans="1:17" s="68" customFormat="1">
      <c r="A19" s="378">
        <v>6</v>
      </c>
      <c r="B19" s="378" t="s">
        <v>149</v>
      </c>
      <c r="C19" s="377" t="s">
        <v>1608</v>
      </c>
      <c r="D19" s="642" t="s">
        <v>1609</v>
      </c>
      <c r="E19" s="464" t="s">
        <v>93</v>
      </c>
      <c r="F19" s="582">
        <v>1</v>
      </c>
      <c r="G19" s="566"/>
      <c r="H19" s="145"/>
      <c r="I19" s="148"/>
      <c r="J19" s="148"/>
      <c r="K19" s="148"/>
      <c r="L19" s="145"/>
      <c r="M19" s="145"/>
      <c r="N19" s="145"/>
      <c r="O19" s="145"/>
      <c r="P19" s="145"/>
      <c r="Q19" s="145"/>
    </row>
    <row r="20" spans="1:17" s="68" customFormat="1" ht="36.75">
      <c r="A20" s="378">
        <v>7</v>
      </c>
      <c r="B20" s="378" t="s">
        <v>149</v>
      </c>
      <c r="C20" s="377" t="s">
        <v>1610</v>
      </c>
      <c r="D20" s="642" t="s">
        <v>1611</v>
      </c>
      <c r="E20" s="464" t="s">
        <v>93</v>
      </c>
      <c r="F20" s="379">
        <v>1</v>
      </c>
      <c r="G20" s="464"/>
      <c r="H20" s="145"/>
      <c r="I20" s="148"/>
      <c r="J20" s="148"/>
      <c r="K20" s="148"/>
      <c r="L20" s="145"/>
      <c r="M20" s="145"/>
      <c r="N20" s="145"/>
      <c r="O20" s="145"/>
      <c r="P20" s="145"/>
      <c r="Q20" s="145"/>
    </row>
    <row r="21" spans="1:17" s="68" customFormat="1" ht="36.75">
      <c r="A21" s="378">
        <v>8</v>
      </c>
      <c r="B21" s="378" t="s">
        <v>149</v>
      </c>
      <c r="C21" s="377" t="s">
        <v>1612</v>
      </c>
      <c r="D21" s="642" t="s">
        <v>1613</v>
      </c>
      <c r="E21" s="464" t="s">
        <v>93</v>
      </c>
      <c r="F21" s="379">
        <v>4</v>
      </c>
      <c r="G21" s="464"/>
      <c r="H21" s="145"/>
      <c r="I21" s="148"/>
      <c r="J21" s="148"/>
      <c r="K21" s="148"/>
      <c r="L21" s="145"/>
      <c r="M21" s="145"/>
      <c r="N21" s="145"/>
      <c r="O21" s="145"/>
      <c r="P21" s="145"/>
      <c r="Q21" s="145"/>
    </row>
    <row r="22" spans="1:17" s="68" customFormat="1" ht="24.75">
      <c r="A22" s="378">
        <v>9</v>
      </c>
      <c r="B22" s="378" t="s">
        <v>149</v>
      </c>
      <c r="C22" s="377" t="s">
        <v>1612</v>
      </c>
      <c r="D22" s="642" t="s">
        <v>1614</v>
      </c>
      <c r="E22" s="464" t="s">
        <v>93</v>
      </c>
      <c r="F22" s="379">
        <v>1</v>
      </c>
      <c r="G22" s="464"/>
      <c r="H22" s="145"/>
      <c r="I22" s="148"/>
      <c r="J22" s="148"/>
      <c r="K22" s="148"/>
      <c r="L22" s="145"/>
      <c r="M22" s="145"/>
      <c r="N22" s="145"/>
      <c r="O22" s="145"/>
      <c r="P22" s="145"/>
      <c r="Q22" s="145"/>
    </row>
    <row r="23" spans="1:17" s="68" customFormat="1" ht="24.75">
      <c r="A23" s="378">
        <v>10</v>
      </c>
      <c r="B23" s="378" t="s">
        <v>149</v>
      </c>
      <c r="C23" s="377" t="s">
        <v>1612</v>
      </c>
      <c r="D23" s="642" t="s">
        <v>1615</v>
      </c>
      <c r="E23" s="464" t="s">
        <v>93</v>
      </c>
      <c r="F23" s="379">
        <v>1</v>
      </c>
      <c r="G23" s="464"/>
      <c r="H23" s="145"/>
      <c r="I23" s="148"/>
      <c r="J23" s="148"/>
      <c r="K23" s="148"/>
      <c r="L23" s="145"/>
      <c r="M23" s="145"/>
      <c r="N23" s="145"/>
      <c r="O23" s="145"/>
      <c r="P23" s="145"/>
      <c r="Q23" s="145"/>
    </row>
    <row r="24" spans="1:17" s="68" customFormat="1">
      <c r="A24" s="378">
        <v>11</v>
      </c>
      <c r="B24" s="378" t="s">
        <v>149</v>
      </c>
      <c r="C24" s="377" t="s">
        <v>1616</v>
      </c>
      <c r="D24" s="642" t="s">
        <v>1617</v>
      </c>
      <c r="E24" s="464" t="s">
        <v>93</v>
      </c>
      <c r="F24" s="379">
        <v>2</v>
      </c>
      <c r="G24" s="464"/>
      <c r="H24" s="145"/>
      <c r="I24" s="148"/>
      <c r="J24" s="148"/>
      <c r="K24" s="148"/>
      <c r="L24" s="145"/>
      <c r="M24" s="145"/>
      <c r="N24" s="145"/>
      <c r="O24" s="145"/>
      <c r="P24" s="145"/>
      <c r="Q24" s="145"/>
    </row>
    <row r="25" spans="1:17" s="68" customFormat="1" ht="24.75">
      <c r="A25" s="378">
        <v>12</v>
      </c>
      <c r="B25" s="378" t="s">
        <v>149</v>
      </c>
      <c r="C25" s="377" t="s">
        <v>1618</v>
      </c>
      <c r="D25" s="642" t="s">
        <v>1619</v>
      </c>
      <c r="E25" s="464" t="s">
        <v>93</v>
      </c>
      <c r="F25" s="379">
        <v>1</v>
      </c>
      <c r="G25" s="464"/>
      <c r="H25" s="145"/>
      <c r="I25" s="148"/>
      <c r="J25" s="148"/>
      <c r="K25" s="148"/>
      <c r="L25" s="145"/>
      <c r="M25" s="145"/>
      <c r="N25" s="145"/>
      <c r="O25" s="145"/>
      <c r="P25" s="145"/>
      <c r="Q25" s="145"/>
    </row>
    <row r="26" spans="1:17" s="68" customFormat="1" ht="24.75">
      <c r="A26" s="378">
        <v>13</v>
      </c>
      <c r="B26" s="378" t="s">
        <v>149</v>
      </c>
      <c r="C26" s="377" t="s">
        <v>1620</v>
      </c>
      <c r="D26" s="642" t="s">
        <v>1621</v>
      </c>
      <c r="E26" s="378" t="s">
        <v>90</v>
      </c>
      <c r="F26" s="379">
        <v>1</v>
      </c>
      <c r="G26" s="464"/>
      <c r="H26" s="145"/>
      <c r="I26" s="148"/>
      <c r="J26" s="148"/>
      <c r="K26" s="148"/>
      <c r="L26" s="145"/>
      <c r="M26" s="145"/>
      <c r="N26" s="145"/>
      <c r="O26" s="145"/>
      <c r="P26" s="145"/>
      <c r="Q26" s="145"/>
    </row>
    <row r="27" spans="1:17" s="68" customFormat="1" ht="24.75">
      <c r="A27" s="378">
        <v>14</v>
      </c>
      <c r="B27" s="378" t="s">
        <v>149</v>
      </c>
      <c r="C27" s="377" t="s">
        <v>1622</v>
      </c>
      <c r="D27" s="642" t="s">
        <v>1623</v>
      </c>
      <c r="E27" s="464" t="s">
        <v>93</v>
      </c>
      <c r="F27" s="379">
        <v>1</v>
      </c>
      <c r="G27" s="464"/>
      <c r="H27" s="145"/>
      <c r="I27" s="148"/>
      <c r="J27" s="148"/>
      <c r="K27" s="148"/>
      <c r="L27" s="145"/>
      <c r="M27" s="145"/>
      <c r="N27" s="145"/>
      <c r="O27" s="145"/>
      <c r="P27" s="145"/>
      <c r="Q27" s="145"/>
    </row>
    <row r="28" spans="1:17" s="68" customFormat="1" ht="36.75">
      <c r="A28" s="378">
        <v>15</v>
      </c>
      <c r="B28" s="378" t="s">
        <v>149</v>
      </c>
      <c r="C28" s="730" t="s">
        <v>1624</v>
      </c>
      <c r="D28" s="719" t="s">
        <v>1625</v>
      </c>
      <c r="E28" s="464" t="s">
        <v>93</v>
      </c>
      <c r="F28" s="379">
        <v>1</v>
      </c>
      <c r="G28" s="464"/>
      <c r="H28" s="145"/>
      <c r="I28" s="148"/>
      <c r="J28" s="148"/>
      <c r="K28" s="148"/>
      <c r="L28" s="145"/>
      <c r="M28" s="145"/>
      <c r="N28" s="145"/>
      <c r="O28" s="145"/>
      <c r="P28" s="145"/>
      <c r="Q28" s="145"/>
    </row>
    <row r="29" spans="1:17" s="68" customFormat="1" ht="24.75">
      <c r="A29" s="378">
        <v>16</v>
      </c>
      <c r="B29" s="378" t="s">
        <v>149</v>
      </c>
      <c r="C29" s="377" t="s">
        <v>1626</v>
      </c>
      <c r="D29" s="642" t="s">
        <v>1627</v>
      </c>
      <c r="E29" s="378" t="s">
        <v>90</v>
      </c>
      <c r="F29" s="727">
        <v>1</v>
      </c>
      <c r="G29" s="720"/>
      <c r="H29" s="145"/>
      <c r="I29" s="148"/>
      <c r="J29" s="148"/>
      <c r="K29" s="148"/>
      <c r="L29" s="145"/>
      <c r="M29" s="145"/>
      <c r="N29" s="145"/>
      <c r="O29" s="145"/>
      <c r="P29" s="145"/>
      <c r="Q29" s="145"/>
    </row>
    <row r="30" spans="1:17" s="68" customFormat="1" ht="24.75">
      <c r="A30" s="378">
        <v>17</v>
      </c>
      <c r="B30" s="378" t="s">
        <v>149</v>
      </c>
      <c r="C30" s="377" t="s">
        <v>1628</v>
      </c>
      <c r="D30" s="642" t="s">
        <v>1629</v>
      </c>
      <c r="E30" s="464" t="s">
        <v>93</v>
      </c>
      <c r="F30" s="379">
        <v>1</v>
      </c>
      <c r="G30" s="464"/>
      <c r="H30" s="145"/>
      <c r="I30" s="148"/>
      <c r="J30" s="148"/>
      <c r="K30" s="148"/>
      <c r="L30" s="145"/>
      <c r="M30" s="145"/>
      <c r="N30" s="145"/>
      <c r="O30" s="145"/>
      <c r="P30" s="145"/>
      <c r="Q30" s="145"/>
    </row>
    <row r="31" spans="1:17" s="68" customFormat="1">
      <c r="A31" s="378">
        <v>18</v>
      </c>
      <c r="B31" s="378" t="s">
        <v>149</v>
      </c>
      <c r="C31" s="377" t="s">
        <v>1630</v>
      </c>
      <c r="D31" s="728"/>
      <c r="E31" s="464" t="s">
        <v>93</v>
      </c>
      <c r="F31" s="379">
        <v>9</v>
      </c>
      <c r="G31" s="464"/>
      <c r="H31" s="145"/>
      <c r="I31" s="148"/>
      <c r="J31" s="148"/>
      <c r="K31" s="148"/>
      <c r="L31" s="145"/>
      <c r="M31" s="145"/>
      <c r="N31" s="145"/>
      <c r="O31" s="145"/>
      <c r="P31" s="145"/>
      <c r="Q31" s="145"/>
    </row>
    <row r="32" spans="1:17" s="68" customFormat="1">
      <c r="A32" s="378">
        <v>19</v>
      </c>
      <c r="B32" s="378" t="s">
        <v>149</v>
      </c>
      <c r="C32" s="377" t="s">
        <v>1631</v>
      </c>
      <c r="D32" s="728"/>
      <c r="E32" s="464" t="s">
        <v>93</v>
      </c>
      <c r="F32" s="379">
        <v>9</v>
      </c>
      <c r="G32" s="464"/>
      <c r="H32" s="145"/>
      <c r="I32" s="148"/>
      <c r="J32" s="148"/>
      <c r="K32" s="148"/>
      <c r="L32" s="145"/>
      <c r="M32" s="145"/>
      <c r="N32" s="145"/>
      <c r="O32" s="145"/>
      <c r="P32" s="145"/>
      <c r="Q32" s="145"/>
    </row>
    <row r="33" spans="1:17" s="68" customFormat="1" ht="36.75">
      <c r="A33" s="378">
        <v>20</v>
      </c>
      <c r="B33" s="378" t="s">
        <v>149</v>
      </c>
      <c r="C33" s="377" t="s">
        <v>1632</v>
      </c>
      <c r="D33" s="642" t="s">
        <v>1633</v>
      </c>
      <c r="E33" s="464" t="s">
        <v>93</v>
      </c>
      <c r="F33" s="379">
        <v>1</v>
      </c>
      <c r="G33" s="464"/>
      <c r="H33" s="145"/>
      <c r="I33" s="148"/>
      <c r="J33" s="148"/>
      <c r="K33" s="148"/>
      <c r="L33" s="145"/>
      <c r="M33" s="145"/>
      <c r="N33" s="145"/>
      <c r="O33" s="145"/>
      <c r="P33" s="145"/>
      <c r="Q33" s="145"/>
    </row>
    <row r="34" spans="1:17" s="68" customFormat="1" ht="24.75">
      <c r="A34" s="378">
        <v>21</v>
      </c>
      <c r="B34" s="378" t="s">
        <v>149</v>
      </c>
      <c r="C34" s="377" t="s">
        <v>1634</v>
      </c>
      <c r="D34" s="642" t="s">
        <v>1635</v>
      </c>
      <c r="E34" s="464" t="s">
        <v>93</v>
      </c>
      <c r="F34" s="379">
        <v>1</v>
      </c>
      <c r="G34" s="464"/>
      <c r="H34" s="145"/>
      <c r="I34" s="148"/>
      <c r="J34" s="148"/>
      <c r="K34" s="148"/>
      <c r="L34" s="145"/>
      <c r="M34" s="145"/>
      <c r="N34" s="145"/>
      <c r="O34" s="145"/>
      <c r="P34" s="145"/>
      <c r="Q34" s="145"/>
    </row>
    <row r="35" spans="1:17" s="68" customFormat="1">
      <c r="A35" s="378">
        <v>22</v>
      </c>
      <c r="B35" s="378" t="s">
        <v>149</v>
      </c>
      <c r="C35" s="377" t="s">
        <v>1636</v>
      </c>
      <c r="D35" s="642"/>
      <c r="E35" s="464" t="s">
        <v>93</v>
      </c>
      <c r="F35" s="379">
        <v>4</v>
      </c>
      <c r="G35" s="464"/>
      <c r="H35" s="145"/>
      <c r="I35" s="148"/>
      <c r="J35" s="148"/>
      <c r="K35" s="148"/>
      <c r="L35" s="145"/>
      <c r="M35" s="145"/>
      <c r="N35" s="145"/>
      <c r="O35" s="145"/>
      <c r="P35" s="145"/>
      <c r="Q35" s="145"/>
    </row>
    <row r="36" spans="1:17" s="68" customFormat="1" ht="24.75">
      <c r="A36" s="378">
        <v>23</v>
      </c>
      <c r="B36" s="378" t="s">
        <v>149</v>
      </c>
      <c r="C36" s="377" t="s">
        <v>1637</v>
      </c>
      <c r="D36" s="721" t="s">
        <v>1638</v>
      </c>
      <c r="E36" s="464" t="s">
        <v>93</v>
      </c>
      <c r="F36" s="379">
        <v>1</v>
      </c>
      <c r="G36" s="464"/>
      <c r="H36" s="145"/>
      <c r="I36" s="148"/>
      <c r="J36" s="148"/>
      <c r="K36" s="148"/>
      <c r="L36" s="145"/>
      <c r="M36" s="145"/>
      <c r="N36" s="145"/>
      <c r="O36" s="145"/>
      <c r="P36" s="145"/>
      <c r="Q36" s="145"/>
    </row>
    <row r="37" spans="1:17" s="68" customFormat="1" ht="24.75">
      <c r="A37" s="378">
        <v>24</v>
      </c>
      <c r="B37" s="378" t="s">
        <v>149</v>
      </c>
      <c r="C37" s="377" t="s">
        <v>1639</v>
      </c>
      <c r="D37" s="721" t="s">
        <v>1640</v>
      </c>
      <c r="E37" s="464" t="s">
        <v>93</v>
      </c>
      <c r="F37" s="379">
        <v>1</v>
      </c>
      <c r="G37" s="464"/>
      <c r="H37" s="145"/>
      <c r="I37" s="148"/>
      <c r="J37" s="148"/>
      <c r="K37" s="148"/>
      <c r="L37" s="145"/>
      <c r="M37" s="145"/>
      <c r="N37" s="145"/>
      <c r="O37" s="145"/>
      <c r="P37" s="145"/>
      <c r="Q37" s="145"/>
    </row>
    <row r="38" spans="1:17" s="68" customFormat="1">
      <c r="A38" s="378">
        <v>25</v>
      </c>
      <c r="B38" s="378" t="s">
        <v>149</v>
      </c>
      <c r="C38" s="730" t="s">
        <v>1641</v>
      </c>
      <c r="D38" s="377"/>
      <c r="E38" s="464" t="s">
        <v>93</v>
      </c>
      <c r="F38" s="379">
        <v>26</v>
      </c>
      <c r="G38" s="464"/>
      <c r="H38" s="145"/>
      <c r="I38" s="148"/>
      <c r="J38" s="148"/>
      <c r="K38" s="148"/>
      <c r="L38" s="145"/>
      <c r="M38" s="145"/>
      <c r="N38" s="145"/>
      <c r="O38" s="145"/>
      <c r="P38" s="145"/>
      <c r="Q38" s="145"/>
    </row>
    <row r="39" spans="1:17" s="68" customFormat="1">
      <c r="A39" s="378">
        <v>26</v>
      </c>
      <c r="B39" s="378" t="s">
        <v>149</v>
      </c>
      <c r="C39" s="377" t="s">
        <v>1642</v>
      </c>
      <c r="D39" s="377"/>
      <c r="E39" s="464" t="s">
        <v>93</v>
      </c>
      <c r="F39" s="379">
        <v>35</v>
      </c>
      <c r="G39" s="464"/>
      <c r="H39" s="145"/>
      <c r="I39" s="148"/>
      <c r="J39" s="148"/>
      <c r="K39" s="148"/>
      <c r="L39" s="145"/>
      <c r="M39" s="145"/>
      <c r="N39" s="145"/>
      <c r="O39" s="145"/>
      <c r="P39" s="145"/>
      <c r="Q39" s="145"/>
    </row>
    <row r="40" spans="1:17" s="68" customFormat="1">
      <c r="A40" s="378">
        <v>27</v>
      </c>
      <c r="B40" s="378" t="s">
        <v>149</v>
      </c>
      <c r="C40" s="377" t="s">
        <v>1643</v>
      </c>
      <c r="D40" s="377"/>
      <c r="E40" s="464" t="s">
        <v>93</v>
      </c>
      <c r="F40" s="379">
        <v>2</v>
      </c>
      <c r="G40" s="464"/>
      <c r="H40" s="145"/>
      <c r="I40" s="148"/>
      <c r="J40" s="148"/>
      <c r="K40" s="148"/>
      <c r="L40" s="145"/>
      <c r="M40" s="145"/>
      <c r="N40" s="145"/>
      <c r="O40" s="145"/>
      <c r="P40" s="145"/>
      <c r="Q40" s="145"/>
    </row>
    <row r="41" spans="1:17" s="68" customFormat="1">
      <c r="A41" s="378">
        <v>28</v>
      </c>
      <c r="B41" s="378" t="s">
        <v>149</v>
      </c>
      <c r="C41" s="377" t="s">
        <v>1644</v>
      </c>
      <c r="D41" s="642"/>
      <c r="E41" s="464" t="s">
        <v>90</v>
      </c>
      <c r="F41" s="582">
        <v>1</v>
      </c>
      <c r="G41" s="566"/>
      <c r="H41" s="145"/>
      <c r="I41" s="148"/>
      <c r="J41" s="148"/>
      <c r="K41" s="148"/>
      <c r="L41" s="145"/>
      <c r="M41" s="145"/>
      <c r="N41" s="145"/>
      <c r="O41" s="145"/>
      <c r="P41" s="145"/>
      <c r="Q41" s="145"/>
    </row>
    <row r="42" spans="1:17" s="68" customFormat="1">
      <c r="A42" s="378">
        <v>29</v>
      </c>
      <c r="B42" s="378" t="s">
        <v>149</v>
      </c>
      <c r="C42" s="730" t="s">
        <v>1645</v>
      </c>
      <c r="D42" s="719" t="s">
        <v>1646</v>
      </c>
      <c r="E42" s="722" t="s">
        <v>90</v>
      </c>
      <c r="F42" s="379">
        <v>2</v>
      </c>
      <c r="G42" s="464"/>
      <c r="H42" s="145"/>
      <c r="I42" s="148"/>
      <c r="J42" s="148"/>
      <c r="K42" s="148"/>
      <c r="L42" s="145"/>
      <c r="M42" s="145"/>
      <c r="N42" s="145"/>
      <c r="O42" s="145"/>
      <c r="P42" s="145"/>
      <c r="Q42" s="145"/>
    </row>
    <row r="43" spans="1:17" s="68" customFormat="1">
      <c r="A43" s="378">
        <v>30</v>
      </c>
      <c r="B43" s="378" t="s">
        <v>149</v>
      </c>
      <c r="C43" s="377" t="s">
        <v>1647</v>
      </c>
      <c r="D43" s="642"/>
      <c r="E43" s="464" t="s">
        <v>90</v>
      </c>
      <c r="F43" s="582">
        <v>1</v>
      </c>
      <c r="G43" s="566"/>
      <c r="H43" s="145"/>
      <c r="I43" s="148"/>
      <c r="J43" s="148"/>
      <c r="K43" s="148"/>
      <c r="L43" s="145"/>
      <c r="M43" s="145"/>
      <c r="N43" s="145"/>
      <c r="O43" s="145"/>
      <c r="P43" s="145"/>
      <c r="Q43" s="145"/>
    </row>
    <row r="44" spans="1:17" s="68" customFormat="1">
      <c r="A44" s="378">
        <v>31</v>
      </c>
      <c r="B44" s="378" t="s">
        <v>149</v>
      </c>
      <c r="C44" s="377" t="s">
        <v>1648</v>
      </c>
      <c r="D44" s="642"/>
      <c r="E44" s="464" t="s">
        <v>90</v>
      </c>
      <c r="F44" s="582">
        <v>1</v>
      </c>
      <c r="G44" s="566"/>
      <c r="H44" s="145"/>
      <c r="I44" s="148"/>
      <c r="J44" s="148"/>
      <c r="K44" s="148"/>
      <c r="L44" s="145"/>
      <c r="M44" s="145"/>
      <c r="N44" s="145"/>
      <c r="O44" s="145"/>
      <c r="P44" s="145"/>
      <c r="Q44" s="145"/>
    </row>
    <row r="45" spans="1:17" s="68" customFormat="1">
      <c r="A45" s="378">
        <v>32</v>
      </c>
      <c r="B45" s="378" t="s">
        <v>149</v>
      </c>
      <c r="C45" s="377" t="s">
        <v>1649</v>
      </c>
      <c r="D45" s="642"/>
      <c r="E45" s="464" t="s">
        <v>90</v>
      </c>
      <c r="F45" s="582">
        <v>1</v>
      </c>
      <c r="G45" s="566"/>
      <c r="H45" s="145"/>
      <c r="I45" s="148"/>
      <c r="J45" s="148"/>
      <c r="K45" s="148"/>
      <c r="L45" s="145"/>
      <c r="M45" s="145"/>
      <c r="N45" s="145"/>
      <c r="O45" s="145"/>
      <c r="P45" s="145"/>
      <c r="Q45" s="145"/>
    </row>
    <row r="46" spans="1:17" s="68" customFormat="1">
      <c r="A46" s="378">
        <v>33</v>
      </c>
      <c r="B46" s="378" t="s">
        <v>149</v>
      </c>
      <c r="C46" s="377" t="s">
        <v>1650</v>
      </c>
      <c r="D46" s="642"/>
      <c r="E46" s="464" t="s">
        <v>90</v>
      </c>
      <c r="F46" s="582">
        <v>1</v>
      </c>
      <c r="G46" s="566"/>
      <c r="H46" s="145"/>
      <c r="I46" s="148"/>
      <c r="J46" s="148"/>
      <c r="K46" s="148"/>
      <c r="L46" s="145"/>
      <c r="M46" s="145"/>
      <c r="N46" s="145"/>
      <c r="O46" s="145"/>
      <c r="P46" s="145"/>
      <c r="Q46" s="145"/>
    </row>
    <row r="47" spans="1:17" s="68" customFormat="1">
      <c r="A47" s="378">
        <v>34</v>
      </c>
      <c r="B47" s="378" t="s">
        <v>149</v>
      </c>
      <c r="C47" s="377" t="s">
        <v>1651</v>
      </c>
      <c r="D47" s="642"/>
      <c r="E47" s="464" t="s">
        <v>90</v>
      </c>
      <c r="F47" s="582">
        <v>1</v>
      </c>
      <c r="G47" s="566"/>
      <c r="H47" s="145"/>
      <c r="I47" s="148"/>
      <c r="J47" s="148"/>
      <c r="K47" s="148"/>
      <c r="L47" s="145"/>
      <c r="M47" s="145"/>
      <c r="N47" s="145"/>
      <c r="O47" s="145"/>
      <c r="P47" s="145"/>
      <c r="Q47" s="145"/>
    </row>
    <row r="48" spans="1:17" s="68" customFormat="1">
      <c r="A48" s="382">
        <v>35</v>
      </c>
      <c r="B48" s="382" t="s">
        <v>149</v>
      </c>
      <c r="C48" s="381" t="s">
        <v>1652</v>
      </c>
      <c r="D48" s="729"/>
      <c r="E48" s="492" t="s">
        <v>90</v>
      </c>
      <c r="F48" s="383">
        <v>1</v>
      </c>
      <c r="G48" s="492"/>
      <c r="H48" s="150"/>
      <c r="I48" s="151"/>
      <c r="J48" s="151"/>
      <c r="K48" s="151"/>
      <c r="L48" s="150"/>
      <c r="M48" s="150"/>
      <c r="N48" s="150"/>
      <c r="O48" s="150"/>
      <c r="P48" s="150"/>
      <c r="Q48" s="150"/>
    </row>
    <row r="49" spans="1:17" s="68" customFormat="1">
      <c r="A49" s="500"/>
      <c r="B49" s="500"/>
      <c r="C49" s="723" t="s">
        <v>1653</v>
      </c>
      <c r="D49" s="724"/>
      <c r="E49" s="460"/>
      <c r="F49" s="545"/>
      <c r="G49" s="460"/>
      <c r="H49" s="135"/>
      <c r="I49" s="152"/>
      <c r="J49" s="152"/>
      <c r="K49" s="152"/>
      <c r="L49" s="135"/>
      <c r="M49" s="135"/>
      <c r="N49" s="135"/>
      <c r="O49" s="135"/>
      <c r="P49" s="135"/>
      <c r="Q49" s="135"/>
    </row>
    <row r="50" spans="1:17" s="68" customFormat="1" ht="36">
      <c r="A50" s="387">
        <f>A48+1</f>
        <v>36</v>
      </c>
      <c r="B50" s="387" t="s">
        <v>149</v>
      </c>
      <c r="C50" s="386" t="s">
        <v>1654</v>
      </c>
      <c r="D50" s="541" t="s">
        <v>1655</v>
      </c>
      <c r="E50" s="486" t="s">
        <v>77</v>
      </c>
      <c r="F50" s="388">
        <v>169</v>
      </c>
      <c r="G50" s="486"/>
      <c r="H50" s="146"/>
      <c r="I50" s="149"/>
      <c r="J50" s="149"/>
      <c r="K50" s="149"/>
      <c r="L50" s="146"/>
      <c r="M50" s="146"/>
      <c r="N50" s="146"/>
      <c r="O50" s="146"/>
      <c r="P50" s="146"/>
      <c r="Q50" s="146"/>
    </row>
    <row r="51" spans="1:17" s="68" customFormat="1" ht="36">
      <c r="A51" s="378">
        <f>A50+1</f>
        <v>37</v>
      </c>
      <c r="B51" s="378" t="s">
        <v>149</v>
      </c>
      <c r="C51" s="377" t="s">
        <v>1654</v>
      </c>
      <c r="D51" s="542" t="s">
        <v>1656</v>
      </c>
      <c r="E51" s="464" t="s">
        <v>77</v>
      </c>
      <c r="F51" s="379">
        <v>12</v>
      </c>
      <c r="G51" s="464"/>
      <c r="H51" s="145"/>
      <c r="I51" s="148"/>
      <c r="J51" s="148"/>
      <c r="K51" s="148"/>
      <c r="L51" s="145"/>
      <c r="M51" s="145"/>
      <c r="N51" s="145"/>
      <c r="O51" s="145"/>
      <c r="P51" s="145"/>
      <c r="Q51" s="145"/>
    </row>
    <row r="52" spans="1:17" s="68" customFormat="1" ht="72.75">
      <c r="A52" s="378">
        <f t="shared" ref="A52:A58" si="0">A51+1</f>
        <v>38</v>
      </c>
      <c r="B52" s="378" t="s">
        <v>149</v>
      </c>
      <c r="C52" s="377" t="s">
        <v>1654</v>
      </c>
      <c r="D52" s="642" t="s">
        <v>1657</v>
      </c>
      <c r="E52" s="464" t="s">
        <v>77</v>
      </c>
      <c r="F52" s="379">
        <v>10</v>
      </c>
      <c r="G52" s="464"/>
      <c r="H52" s="145"/>
      <c r="I52" s="148"/>
      <c r="J52" s="148"/>
      <c r="K52" s="148"/>
      <c r="L52" s="145"/>
      <c r="M52" s="145"/>
      <c r="N52" s="145"/>
      <c r="O52" s="145"/>
      <c r="P52" s="145"/>
      <c r="Q52" s="145"/>
    </row>
    <row r="53" spans="1:17" s="68" customFormat="1" ht="48.75">
      <c r="A53" s="378">
        <f t="shared" si="0"/>
        <v>39</v>
      </c>
      <c r="B53" s="378" t="s">
        <v>149</v>
      </c>
      <c r="C53" s="377" t="s">
        <v>1654</v>
      </c>
      <c r="D53" s="642" t="s">
        <v>1658</v>
      </c>
      <c r="E53" s="464" t="s">
        <v>77</v>
      </c>
      <c r="F53" s="379">
        <v>330</v>
      </c>
      <c r="G53" s="464"/>
      <c r="H53" s="145"/>
      <c r="I53" s="148"/>
      <c r="J53" s="148"/>
      <c r="K53" s="148"/>
      <c r="L53" s="145"/>
      <c r="M53" s="145"/>
      <c r="N53" s="145"/>
      <c r="O53" s="145"/>
      <c r="P53" s="145"/>
      <c r="Q53" s="145"/>
    </row>
    <row r="54" spans="1:17" s="68" customFormat="1" ht="66.75" customHeight="1">
      <c r="A54" s="378">
        <f t="shared" si="0"/>
        <v>40</v>
      </c>
      <c r="B54" s="378" t="s">
        <v>149</v>
      </c>
      <c r="C54" s="377" t="s">
        <v>1654</v>
      </c>
      <c r="D54" s="642" t="s">
        <v>1659</v>
      </c>
      <c r="E54" s="464" t="s">
        <v>77</v>
      </c>
      <c r="F54" s="379">
        <v>15</v>
      </c>
      <c r="G54" s="464"/>
      <c r="H54" s="145"/>
      <c r="I54" s="148"/>
      <c r="J54" s="148"/>
      <c r="K54" s="148"/>
      <c r="L54" s="145"/>
      <c r="M54" s="145"/>
      <c r="N54" s="145"/>
      <c r="O54" s="145"/>
      <c r="P54" s="145"/>
      <c r="Q54" s="145"/>
    </row>
    <row r="55" spans="1:17" s="68" customFormat="1" ht="76.5" customHeight="1">
      <c r="A55" s="378">
        <f t="shared" si="0"/>
        <v>41</v>
      </c>
      <c r="B55" s="378" t="s">
        <v>149</v>
      </c>
      <c r="C55" s="377" t="s">
        <v>1654</v>
      </c>
      <c r="D55" s="642" t="s">
        <v>1660</v>
      </c>
      <c r="E55" s="464" t="s">
        <v>77</v>
      </c>
      <c r="F55" s="379">
        <v>12</v>
      </c>
      <c r="G55" s="464"/>
      <c r="H55" s="145"/>
      <c r="I55" s="148"/>
      <c r="J55" s="148"/>
      <c r="K55" s="148"/>
      <c r="L55" s="145"/>
      <c r="M55" s="145"/>
      <c r="N55" s="145"/>
      <c r="O55" s="145"/>
      <c r="P55" s="145"/>
      <c r="Q55" s="145"/>
    </row>
    <row r="56" spans="1:17" s="68" customFormat="1" ht="36.75">
      <c r="A56" s="378">
        <f t="shared" si="0"/>
        <v>42</v>
      </c>
      <c r="B56" s="378" t="s">
        <v>149</v>
      </c>
      <c r="C56" s="377" t="s">
        <v>1654</v>
      </c>
      <c r="D56" s="642" t="s">
        <v>1661</v>
      </c>
      <c r="E56" s="464" t="s">
        <v>77</v>
      </c>
      <c r="F56" s="379">
        <v>12</v>
      </c>
      <c r="G56" s="464"/>
      <c r="H56" s="145"/>
      <c r="I56" s="148"/>
      <c r="J56" s="148"/>
      <c r="K56" s="148"/>
      <c r="L56" s="145"/>
      <c r="M56" s="145"/>
      <c r="N56" s="145"/>
      <c r="O56" s="145"/>
      <c r="P56" s="145"/>
      <c r="Q56" s="145"/>
    </row>
    <row r="57" spans="1:17" s="68" customFormat="1">
      <c r="A57" s="378">
        <f t="shared" si="0"/>
        <v>43</v>
      </c>
      <c r="B57" s="378" t="s">
        <v>149</v>
      </c>
      <c r="C57" s="377" t="s">
        <v>1662</v>
      </c>
      <c r="D57" s="642"/>
      <c r="E57" s="464" t="s">
        <v>77</v>
      </c>
      <c r="F57" s="379">
        <v>22</v>
      </c>
      <c r="G57" s="464"/>
      <c r="H57" s="145"/>
      <c r="I57" s="148"/>
      <c r="J57" s="148"/>
      <c r="K57" s="148"/>
      <c r="L57" s="145"/>
      <c r="M57" s="145"/>
      <c r="N57" s="145"/>
      <c r="O57" s="145"/>
      <c r="P57" s="145"/>
      <c r="Q57" s="145"/>
    </row>
    <row r="58" spans="1:17" s="68" customFormat="1">
      <c r="A58" s="495">
        <f t="shared" si="0"/>
        <v>44</v>
      </c>
      <c r="B58" s="495" t="s">
        <v>149</v>
      </c>
      <c r="C58" s="436" t="s">
        <v>1663</v>
      </c>
      <c r="D58" s="725"/>
      <c r="E58" s="463" t="s">
        <v>77</v>
      </c>
      <c r="F58" s="546">
        <v>320</v>
      </c>
      <c r="G58" s="463"/>
      <c r="H58" s="146"/>
      <c r="I58" s="149"/>
      <c r="J58" s="149"/>
      <c r="K58" s="149"/>
      <c r="L58" s="146"/>
      <c r="M58" s="146"/>
      <c r="N58" s="146"/>
      <c r="O58" s="146"/>
      <c r="P58" s="146"/>
      <c r="Q58" s="146"/>
    </row>
    <row r="59" spans="1:17">
      <c r="A59" s="890" t="s">
        <v>177</v>
      </c>
      <c r="B59" s="890"/>
      <c r="C59" s="890"/>
      <c r="D59" s="890"/>
      <c r="E59" s="890"/>
      <c r="F59" s="890"/>
      <c r="G59" s="890"/>
      <c r="H59" s="890"/>
      <c r="I59" s="890"/>
      <c r="J59" s="890"/>
      <c r="K59" s="890"/>
      <c r="L59" s="890"/>
      <c r="M59" s="131">
        <f>SUM(M13:M58)</f>
        <v>0</v>
      </c>
      <c r="N59" s="131">
        <f>SUM(N13:N58)</f>
        <v>0</v>
      </c>
      <c r="O59" s="131">
        <f>SUM(O13:O58)</f>
        <v>0</v>
      </c>
      <c r="P59" s="131">
        <f>SUM(P13:P58)</f>
        <v>0</v>
      </c>
      <c r="Q59" s="131">
        <f>SUM(Q13:Q58)</f>
        <v>0</v>
      </c>
    </row>
    <row r="60" spans="1:17" ht="15" customHeight="1">
      <c r="A60" s="932" t="s">
        <v>36</v>
      </c>
      <c r="B60" s="932"/>
      <c r="C60" s="1"/>
      <c r="D60" s="1"/>
      <c r="E60" s="1"/>
      <c r="F60" s="1"/>
      <c r="G60" s="1"/>
      <c r="H60" s="1"/>
      <c r="I60" s="1"/>
      <c r="J60" s="1"/>
      <c r="K60" s="1"/>
      <c r="L60" s="1"/>
      <c r="M60" s="1"/>
      <c r="N60" s="1"/>
      <c r="O60" s="1"/>
      <c r="P60" s="1"/>
      <c r="Q60" s="1"/>
    </row>
    <row r="61" spans="1:17" ht="15" customHeight="1">
      <c r="A61" s="886" t="s">
        <v>56</v>
      </c>
      <c r="B61" s="886"/>
      <c r="C61" s="886"/>
      <c r="D61" s="886"/>
      <c r="E61" s="886"/>
      <c r="F61" s="886"/>
      <c r="G61" s="886"/>
      <c r="H61" s="886"/>
      <c r="I61" s="886"/>
      <c r="J61" s="886"/>
      <c r="K61" s="886"/>
      <c r="L61" s="886"/>
      <c r="M61" s="886"/>
      <c r="N61" s="886"/>
      <c r="O61" s="886"/>
      <c r="P61" s="886"/>
      <c r="Q61" s="886"/>
    </row>
    <row r="62" spans="1:17">
      <c r="A62" s="903"/>
      <c r="B62" s="903"/>
      <c r="C62" s="9"/>
      <c r="D62" s="9"/>
      <c r="E62" s="9"/>
      <c r="F62" s="9"/>
      <c r="G62" s="9"/>
      <c r="H62" s="9"/>
      <c r="I62" s="9"/>
      <c r="J62" s="9"/>
      <c r="K62" s="9"/>
      <c r="L62" s="9"/>
      <c r="M62" s="50">
        <f>Koptame!A46</f>
        <v>0</v>
      </c>
      <c r="N62" s="50"/>
      <c r="O62" s="50"/>
      <c r="P62" s="50"/>
      <c r="Q62" s="50"/>
    </row>
    <row r="63" spans="1:17">
      <c r="A63" s="902" t="s">
        <v>7</v>
      </c>
      <c r="B63" s="902"/>
      <c r="C63" s="307"/>
      <c r="D63" s="307"/>
      <c r="E63" s="9"/>
      <c r="F63" s="9"/>
      <c r="G63" s="9"/>
      <c r="H63" s="9"/>
      <c r="I63" s="9"/>
      <c r="J63" s="9"/>
      <c r="K63" s="9"/>
      <c r="L63" s="9"/>
      <c r="M63" s="307"/>
      <c r="N63" s="81">
        <f>Koptame!B47</f>
        <v>0</v>
      </c>
      <c r="O63" s="81"/>
      <c r="P63" s="50"/>
      <c r="Q63" s="50"/>
    </row>
  </sheetData>
  <mergeCells count="25">
    <mergeCell ref="A59:L59"/>
    <mergeCell ref="A60:B60"/>
    <mergeCell ref="A61:Q61"/>
    <mergeCell ref="A62:B62"/>
    <mergeCell ref="A63:B63"/>
    <mergeCell ref="A1:Q1"/>
    <mergeCell ref="A3:B3"/>
    <mergeCell ref="C3:Q3"/>
    <mergeCell ref="A4:B4"/>
    <mergeCell ref="C4:Q4"/>
    <mergeCell ref="A2:Q2"/>
    <mergeCell ref="A5:B5"/>
    <mergeCell ref="C5:Q5"/>
    <mergeCell ref="A6:B6"/>
    <mergeCell ref="C6:Q6"/>
    <mergeCell ref="A7:B7"/>
    <mergeCell ref="C7:Q7"/>
    <mergeCell ref="G10:L10"/>
    <mergeCell ref="M10:Q10"/>
    <mergeCell ref="A10:A11"/>
    <mergeCell ref="B10:B11"/>
    <mergeCell ref="C10:C11"/>
    <mergeCell ref="E10:E11"/>
    <mergeCell ref="F10:F11"/>
    <mergeCell ref="D10:D11"/>
  </mergeCells>
  <conditionalFormatting sqref="C13:E58">
    <cfRule type="expression" priority="2"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Q36"/>
  <sheetViews>
    <sheetView showZeros="0" zoomScale="75" zoomScaleNormal="75" zoomScaleSheetLayoutView="80" workbookViewId="0">
      <selection sqref="A1:Q1"/>
    </sheetView>
  </sheetViews>
  <sheetFormatPr defaultColWidth="9.140625" defaultRowHeight="15"/>
  <cols>
    <col min="1" max="1" width="8.85546875" style="60" customWidth="1"/>
    <col min="2" max="2" width="11.85546875" style="60" customWidth="1"/>
    <col min="3" max="3" width="45.7109375" style="88" customWidth="1"/>
    <col min="4" max="4" width="8" style="88" customWidth="1"/>
    <col min="5" max="12" width="8.7109375" style="60" customWidth="1"/>
    <col min="13" max="17" width="12.7109375" style="60" customWidth="1"/>
    <col min="18" max="16384" width="9.140625" style="60"/>
  </cols>
  <sheetData>
    <row r="1" spans="1:17" s="59" customFormat="1" ht="15.75">
      <c r="A1" s="909" t="s">
        <v>109</v>
      </c>
      <c r="B1" s="909"/>
      <c r="C1" s="909"/>
      <c r="D1" s="909"/>
      <c r="E1" s="909"/>
      <c r="F1" s="909"/>
      <c r="G1" s="909"/>
      <c r="H1" s="909"/>
      <c r="I1" s="909"/>
      <c r="J1" s="909"/>
      <c r="K1" s="909"/>
      <c r="L1" s="909"/>
      <c r="M1" s="909"/>
      <c r="N1" s="909"/>
      <c r="O1" s="909"/>
      <c r="P1" s="909"/>
      <c r="Q1" s="909"/>
    </row>
    <row r="2" spans="1:17" s="59" customFormat="1" ht="15.75">
      <c r="A2" s="899" t="s">
        <v>706</v>
      </c>
      <c r="B2" s="899"/>
      <c r="C2" s="899"/>
      <c r="D2" s="899"/>
      <c r="E2" s="899"/>
      <c r="F2" s="899"/>
      <c r="G2" s="899"/>
      <c r="H2" s="899"/>
      <c r="I2" s="899"/>
      <c r="J2" s="899"/>
      <c r="K2" s="899"/>
      <c r="L2" s="899"/>
      <c r="M2" s="899"/>
      <c r="N2" s="899"/>
      <c r="O2" s="899"/>
      <c r="P2" s="899"/>
      <c r="Q2" s="899"/>
    </row>
    <row r="3" spans="1:17" s="59" customFormat="1" ht="15.6" customHeight="1">
      <c r="A3" s="876" t="s">
        <v>10</v>
      </c>
      <c r="B3" s="876"/>
      <c r="C3" s="859" t="s">
        <v>117</v>
      </c>
      <c r="D3" s="859"/>
      <c r="E3" s="859"/>
      <c r="F3" s="859"/>
      <c r="G3" s="859"/>
      <c r="H3" s="859"/>
      <c r="I3" s="859"/>
      <c r="J3" s="859"/>
      <c r="K3" s="859"/>
      <c r="L3" s="859"/>
      <c r="M3" s="859"/>
      <c r="N3" s="859"/>
      <c r="O3" s="859"/>
      <c r="P3" s="859"/>
      <c r="Q3" s="859"/>
    </row>
    <row r="4" spans="1:17" s="59" customFormat="1" ht="15.6" customHeight="1">
      <c r="A4" s="876" t="s">
        <v>11</v>
      </c>
      <c r="B4" s="876"/>
      <c r="C4" s="859" t="s">
        <v>118</v>
      </c>
      <c r="D4" s="859"/>
      <c r="E4" s="859"/>
      <c r="F4" s="859"/>
      <c r="G4" s="859"/>
      <c r="H4" s="859"/>
      <c r="I4" s="859"/>
      <c r="J4" s="859"/>
      <c r="K4" s="859"/>
      <c r="L4" s="859"/>
      <c r="M4" s="859"/>
      <c r="N4" s="859"/>
      <c r="O4" s="859"/>
      <c r="P4" s="859"/>
      <c r="Q4" s="859"/>
    </row>
    <row r="5" spans="1:17" s="59" customFormat="1" ht="15.75">
      <c r="A5" s="876" t="s">
        <v>12</v>
      </c>
      <c r="B5" s="876"/>
      <c r="C5" s="859" t="s">
        <v>50</v>
      </c>
      <c r="D5" s="859"/>
      <c r="E5" s="859"/>
      <c r="F5" s="859"/>
      <c r="G5" s="859"/>
      <c r="H5" s="859"/>
      <c r="I5" s="859"/>
      <c r="J5" s="859"/>
      <c r="K5" s="859"/>
      <c r="L5" s="859"/>
      <c r="M5" s="859"/>
      <c r="N5" s="859"/>
      <c r="O5" s="859"/>
      <c r="P5" s="859"/>
      <c r="Q5" s="859"/>
    </row>
    <row r="6" spans="1:17" s="59" customFormat="1" ht="15.75">
      <c r="A6" s="876" t="s">
        <v>30</v>
      </c>
      <c r="B6" s="876"/>
      <c r="C6" s="874"/>
      <c r="D6" s="874"/>
      <c r="E6" s="874"/>
      <c r="F6" s="874"/>
      <c r="G6" s="874"/>
      <c r="H6" s="874"/>
      <c r="I6" s="874"/>
      <c r="J6" s="874"/>
      <c r="K6" s="874"/>
      <c r="L6" s="874"/>
      <c r="M6" s="874"/>
      <c r="N6" s="874"/>
      <c r="O6" s="874"/>
      <c r="P6" s="874"/>
      <c r="Q6" s="874"/>
    </row>
    <row r="7" spans="1:17" s="59" customFormat="1" ht="15.75">
      <c r="A7" s="876" t="s">
        <v>54</v>
      </c>
      <c r="B7" s="876"/>
      <c r="C7" s="873"/>
      <c r="D7" s="873"/>
      <c r="E7" s="873"/>
      <c r="F7" s="873"/>
      <c r="G7" s="873"/>
      <c r="H7" s="873"/>
      <c r="I7" s="873"/>
      <c r="J7" s="873"/>
      <c r="K7" s="873"/>
      <c r="L7" s="873"/>
      <c r="M7" s="873"/>
      <c r="N7" s="873"/>
      <c r="O7" s="873"/>
      <c r="P7" s="873"/>
      <c r="Q7" s="873"/>
    </row>
    <row r="8" spans="1:17" s="59" customFormat="1" ht="15.75">
      <c r="A8" s="73"/>
      <c r="B8" s="73"/>
      <c r="C8" s="73"/>
      <c r="D8" s="73"/>
      <c r="E8" s="73"/>
      <c r="F8" s="73"/>
      <c r="G8" s="73"/>
      <c r="H8" s="73"/>
      <c r="I8" s="73"/>
      <c r="J8" s="73"/>
      <c r="K8" s="73"/>
      <c r="L8" s="73"/>
      <c r="M8" s="66"/>
      <c r="N8" s="66"/>
      <c r="O8" s="74"/>
      <c r="P8" s="63" t="s">
        <v>52</v>
      </c>
      <c r="Q8" s="75">
        <f>Q28</f>
        <v>0</v>
      </c>
    </row>
    <row r="9" spans="1:17" ht="15.75">
      <c r="A9" s="65"/>
      <c r="B9" s="65"/>
      <c r="C9" s="91"/>
      <c r="D9" s="91"/>
      <c r="E9" s="66"/>
      <c r="F9" s="66"/>
      <c r="G9" s="66"/>
      <c r="H9" s="66"/>
      <c r="I9" s="66"/>
      <c r="J9" s="66"/>
      <c r="K9" s="66"/>
      <c r="L9" s="66"/>
      <c r="M9" s="66"/>
      <c r="N9" s="66"/>
      <c r="O9" s="66"/>
      <c r="P9" s="66"/>
      <c r="Q9" s="66"/>
    </row>
    <row r="10" spans="1:17" ht="14.25" customHeight="1">
      <c r="A10" s="925" t="s">
        <v>14</v>
      </c>
      <c r="B10" s="926" t="s">
        <v>21</v>
      </c>
      <c r="C10" s="930" t="s">
        <v>22</v>
      </c>
      <c r="D10" s="939" t="s">
        <v>1776</v>
      </c>
      <c r="E10" s="924" t="s">
        <v>23</v>
      </c>
      <c r="F10" s="925" t="s">
        <v>24</v>
      </c>
      <c r="G10" s="928" t="s">
        <v>25</v>
      </c>
      <c r="H10" s="928"/>
      <c r="I10" s="928"/>
      <c r="J10" s="928"/>
      <c r="K10" s="928"/>
      <c r="L10" s="928"/>
      <c r="M10" s="928" t="s">
        <v>26</v>
      </c>
      <c r="N10" s="928"/>
      <c r="O10" s="928"/>
      <c r="P10" s="928"/>
      <c r="Q10" s="928"/>
    </row>
    <row r="11" spans="1:17" ht="73.5" customHeight="1">
      <c r="A11" s="925"/>
      <c r="B11" s="927"/>
      <c r="C11" s="930"/>
      <c r="D11" s="940"/>
      <c r="E11" s="924"/>
      <c r="F11" s="925"/>
      <c r="G11" s="317" t="s">
        <v>27</v>
      </c>
      <c r="H11" s="317" t="s">
        <v>37</v>
      </c>
      <c r="I11" s="317" t="s">
        <v>38</v>
      </c>
      <c r="J11" s="317" t="s">
        <v>39</v>
      </c>
      <c r="K11" s="317" t="s">
        <v>40</v>
      </c>
      <c r="L11" s="317" t="s">
        <v>41</v>
      </c>
      <c r="M11" s="317" t="s">
        <v>18</v>
      </c>
      <c r="N11" s="317" t="s">
        <v>38</v>
      </c>
      <c r="O11" s="317" t="s">
        <v>39</v>
      </c>
      <c r="P11" s="317" t="s">
        <v>40</v>
      </c>
      <c r="Q11" s="317" t="s">
        <v>42</v>
      </c>
    </row>
    <row r="12" spans="1:17">
      <c r="A12" s="275">
        <v>1</v>
      </c>
      <c r="B12" s="275">
        <v>2</v>
      </c>
      <c r="C12" s="275">
        <v>3</v>
      </c>
      <c r="D12" s="275"/>
      <c r="E12" s="275">
        <v>4</v>
      </c>
      <c r="F12" s="275">
        <v>5</v>
      </c>
      <c r="G12" s="275">
        <v>6</v>
      </c>
      <c r="H12" s="275">
        <v>7</v>
      </c>
      <c r="I12" s="275">
        <v>8</v>
      </c>
      <c r="J12" s="275">
        <v>9</v>
      </c>
      <c r="K12" s="275">
        <v>10</v>
      </c>
      <c r="L12" s="275">
        <v>11</v>
      </c>
      <c r="M12" s="275">
        <v>12</v>
      </c>
      <c r="N12" s="275">
        <v>13</v>
      </c>
      <c r="O12" s="275">
        <v>14</v>
      </c>
      <c r="P12" s="275">
        <v>15</v>
      </c>
      <c r="Q12" s="275">
        <v>16</v>
      </c>
    </row>
    <row r="13" spans="1:17" s="68" customFormat="1">
      <c r="A13" s="370"/>
      <c r="B13" s="370"/>
      <c r="C13" s="502" t="s">
        <v>706</v>
      </c>
      <c r="D13" s="502"/>
      <c r="E13" s="370"/>
      <c r="F13" s="370"/>
      <c r="G13" s="370"/>
      <c r="H13" s="135"/>
      <c r="I13" s="152"/>
      <c r="J13" s="152"/>
      <c r="K13" s="152"/>
      <c r="L13" s="135"/>
      <c r="M13" s="135"/>
      <c r="N13" s="135"/>
      <c r="O13" s="135"/>
      <c r="P13" s="135"/>
      <c r="Q13" s="135"/>
    </row>
    <row r="14" spans="1:17" s="68" customFormat="1" ht="48">
      <c r="A14" s="731">
        <f t="shared" ref="A14:A27" si="0">A13+1</f>
        <v>1</v>
      </c>
      <c r="B14" s="731" t="s">
        <v>149</v>
      </c>
      <c r="C14" s="732" t="s">
        <v>1664</v>
      </c>
      <c r="D14" s="733" t="s">
        <v>1665</v>
      </c>
      <c r="E14" s="733" t="s">
        <v>90</v>
      </c>
      <c r="F14" s="741">
        <v>1</v>
      </c>
      <c r="G14" s="733"/>
      <c r="H14" s="146"/>
      <c r="I14" s="149"/>
      <c r="J14" s="149"/>
      <c r="K14" s="149"/>
      <c r="L14" s="146"/>
      <c r="M14" s="146"/>
      <c r="N14" s="146"/>
      <c r="O14" s="146"/>
      <c r="P14" s="146"/>
      <c r="Q14" s="146"/>
    </row>
    <row r="15" spans="1:17" s="68" customFormat="1">
      <c r="A15" s="734">
        <f>A14+1</f>
        <v>2</v>
      </c>
      <c r="B15" s="734" t="s">
        <v>149</v>
      </c>
      <c r="C15" s="735" t="s">
        <v>1666</v>
      </c>
      <c r="D15" s="736"/>
      <c r="E15" s="736" t="s">
        <v>90</v>
      </c>
      <c r="F15" s="742">
        <v>1</v>
      </c>
      <c r="G15" s="736"/>
      <c r="H15" s="145"/>
      <c r="I15" s="148"/>
      <c r="J15" s="148"/>
      <c r="K15" s="148"/>
      <c r="L15" s="145"/>
      <c r="M15" s="145"/>
      <c r="N15" s="145"/>
      <c r="O15" s="145"/>
      <c r="P15" s="145"/>
      <c r="Q15" s="145"/>
    </row>
    <row r="16" spans="1:17" s="68" customFormat="1" ht="72">
      <c r="A16" s="734">
        <f t="shared" si="0"/>
        <v>3</v>
      </c>
      <c r="B16" s="734" t="s">
        <v>149</v>
      </c>
      <c r="C16" s="737" t="s">
        <v>1667</v>
      </c>
      <c r="D16" s="736" t="s">
        <v>1668</v>
      </c>
      <c r="E16" s="736" t="s">
        <v>93</v>
      </c>
      <c r="F16" s="742">
        <v>4</v>
      </c>
      <c r="G16" s="736"/>
      <c r="H16" s="145"/>
      <c r="I16" s="148"/>
      <c r="J16" s="148"/>
      <c r="K16" s="148"/>
      <c r="L16" s="145"/>
      <c r="M16" s="145"/>
      <c r="N16" s="145"/>
      <c r="O16" s="145"/>
      <c r="P16" s="145"/>
      <c r="Q16" s="145"/>
    </row>
    <row r="17" spans="1:17" s="68" customFormat="1" ht="96">
      <c r="A17" s="734">
        <f t="shared" si="0"/>
        <v>4</v>
      </c>
      <c r="B17" s="734" t="s">
        <v>149</v>
      </c>
      <c r="C17" s="735" t="s">
        <v>1669</v>
      </c>
      <c r="D17" s="738" t="s">
        <v>1670</v>
      </c>
      <c r="E17" s="736" t="s">
        <v>93</v>
      </c>
      <c r="F17" s="742">
        <v>2</v>
      </c>
      <c r="G17" s="736"/>
      <c r="H17" s="145"/>
      <c r="I17" s="148"/>
      <c r="J17" s="148"/>
      <c r="K17" s="148"/>
      <c r="L17" s="145"/>
      <c r="M17" s="145"/>
      <c r="N17" s="145"/>
      <c r="O17" s="145"/>
      <c r="P17" s="145"/>
      <c r="Q17" s="145"/>
    </row>
    <row r="18" spans="1:17" s="68" customFormat="1" ht="72">
      <c r="A18" s="734">
        <f t="shared" si="0"/>
        <v>5</v>
      </c>
      <c r="B18" s="734" t="s">
        <v>149</v>
      </c>
      <c r="C18" s="735" t="s">
        <v>1671</v>
      </c>
      <c r="D18" s="736" t="s">
        <v>1672</v>
      </c>
      <c r="E18" s="736" t="s">
        <v>93</v>
      </c>
      <c r="F18" s="742">
        <v>1</v>
      </c>
      <c r="G18" s="736"/>
      <c r="H18" s="145"/>
      <c r="I18" s="148"/>
      <c r="J18" s="148"/>
      <c r="K18" s="148"/>
      <c r="L18" s="145"/>
      <c r="M18" s="145"/>
      <c r="N18" s="145"/>
      <c r="O18" s="145"/>
      <c r="P18" s="145"/>
      <c r="Q18" s="145"/>
    </row>
    <row r="19" spans="1:17" s="68" customFormat="1">
      <c r="A19" s="734">
        <f t="shared" si="0"/>
        <v>6</v>
      </c>
      <c r="B19" s="734" t="s">
        <v>149</v>
      </c>
      <c r="C19" s="735" t="s">
        <v>1673</v>
      </c>
      <c r="D19" s="738"/>
      <c r="E19" s="736" t="s">
        <v>93</v>
      </c>
      <c r="F19" s="742">
        <v>1</v>
      </c>
      <c r="G19" s="736"/>
      <c r="H19" s="145"/>
      <c r="I19" s="148"/>
      <c r="J19" s="148"/>
      <c r="K19" s="148"/>
      <c r="L19" s="145"/>
      <c r="M19" s="145"/>
      <c r="N19" s="145"/>
      <c r="O19" s="145"/>
      <c r="P19" s="145"/>
      <c r="Q19" s="145"/>
    </row>
    <row r="20" spans="1:17" s="68" customFormat="1" ht="24">
      <c r="A20" s="734">
        <f t="shared" si="0"/>
        <v>7</v>
      </c>
      <c r="B20" s="734" t="s">
        <v>149</v>
      </c>
      <c r="C20" s="735" t="s">
        <v>1674</v>
      </c>
      <c r="D20" s="738"/>
      <c r="E20" s="736" t="s">
        <v>93</v>
      </c>
      <c r="F20" s="742">
        <v>2</v>
      </c>
      <c r="G20" s="736"/>
      <c r="H20" s="145"/>
      <c r="I20" s="148"/>
      <c r="J20" s="148"/>
      <c r="K20" s="148"/>
      <c r="L20" s="145"/>
      <c r="M20" s="145"/>
      <c r="N20" s="145"/>
      <c r="O20" s="145"/>
      <c r="P20" s="145"/>
      <c r="Q20" s="145"/>
    </row>
    <row r="21" spans="1:17" s="68" customFormat="1" ht="36">
      <c r="A21" s="734">
        <f t="shared" si="0"/>
        <v>8</v>
      </c>
      <c r="B21" s="734" t="s">
        <v>149</v>
      </c>
      <c r="C21" s="735" t="s">
        <v>1675</v>
      </c>
      <c r="D21" s="736" t="s">
        <v>1676</v>
      </c>
      <c r="E21" s="736" t="s">
        <v>77</v>
      </c>
      <c r="F21" s="742">
        <v>40</v>
      </c>
      <c r="G21" s="736"/>
      <c r="H21" s="145"/>
      <c r="I21" s="148"/>
      <c r="J21" s="148"/>
      <c r="K21" s="148"/>
      <c r="L21" s="145"/>
      <c r="M21" s="145"/>
      <c r="N21" s="145"/>
      <c r="O21" s="145"/>
      <c r="P21" s="145"/>
      <c r="Q21" s="145"/>
    </row>
    <row r="22" spans="1:17" s="68" customFormat="1" ht="36">
      <c r="A22" s="734">
        <f t="shared" si="0"/>
        <v>9</v>
      </c>
      <c r="B22" s="734" t="s">
        <v>149</v>
      </c>
      <c r="C22" s="735" t="s">
        <v>1677</v>
      </c>
      <c r="D22" s="736" t="s">
        <v>1589</v>
      </c>
      <c r="E22" s="736" t="s">
        <v>77</v>
      </c>
      <c r="F22" s="742">
        <v>100</v>
      </c>
      <c r="G22" s="736"/>
      <c r="H22" s="145"/>
      <c r="I22" s="148"/>
      <c r="J22" s="148"/>
      <c r="K22" s="148"/>
      <c r="L22" s="145"/>
      <c r="M22" s="145"/>
      <c r="N22" s="145"/>
      <c r="O22" s="145"/>
      <c r="P22" s="145"/>
      <c r="Q22" s="145"/>
    </row>
    <row r="23" spans="1:17" s="68" customFormat="1">
      <c r="A23" s="734">
        <f t="shared" si="0"/>
        <v>10</v>
      </c>
      <c r="B23" s="734" t="s">
        <v>149</v>
      </c>
      <c r="C23" s="735" t="s">
        <v>1678</v>
      </c>
      <c r="D23" s="736" t="s">
        <v>1679</v>
      </c>
      <c r="E23" s="736" t="s">
        <v>77</v>
      </c>
      <c r="F23" s="742">
        <v>100</v>
      </c>
      <c r="G23" s="736"/>
      <c r="H23" s="145"/>
      <c r="I23" s="148"/>
      <c r="J23" s="148"/>
      <c r="K23" s="148"/>
      <c r="L23" s="145"/>
      <c r="M23" s="145"/>
      <c r="N23" s="145"/>
      <c r="O23" s="145"/>
      <c r="P23" s="145"/>
      <c r="Q23" s="145"/>
    </row>
    <row r="24" spans="1:17" s="68" customFormat="1">
      <c r="A24" s="734">
        <f t="shared" si="0"/>
        <v>11</v>
      </c>
      <c r="B24" s="734" t="s">
        <v>149</v>
      </c>
      <c r="C24" s="737" t="s">
        <v>1680</v>
      </c>
      <c r="D24" s="736"/>
      <c r="E24" s="736" t="s">
        <v>90</v>
      </c>
      <c r="F24" s="742">
        <v>1</v>
      </c>
      <c r="G24" s="736"/>
      <c r="H24" s="145"/>
      <c r="I24" s="148"/>
      <c r="J24" s="148"/>
      <c r="K24" s="148"/>
      <c r="L24" s="145"/>
      <c r="M24" s="145"/>
      <c r="N24" s="145"/>
      <c r="O24" s="145"/>
      <c r="P24" s="145"/>
      <c r="Q24" s="145"/>
    </row>
    <row r="25" spans="1:17" s="68" customFormat="1">
      <c r="A25" s="734">
        <f t="shared" si="0"/>
        <v>12</v>
      </c>
      <c r="B25" s="734" t="s">
        <v>149</v>
      </c>
      <c r="C25" s="737" t="s">
        <v>1554</v>
      </c>
      <c r="D25" s="736" t="s">
        <v>1431</v>
      </c>
      <c r="E25" s="736" t="s">
        <v>77</v>
      </c>
      <c r="F25" s="742">
        <v>50</v>
      </c>
      <c r="G25" s="736"/>
      <c r="H25" s="145"/>
      <c r="I25" s="148"/>
      <c r="J25" s="148"/>
      <c r="K25" s="148"/>
      <c r="L25" s="145"/>
      <c r="M25" s="145"/>
      <c r="N25" s="145"/>
      <c r="O25" s="145"/>
      <c r="P25" s="145"/>
      <c r="Q25" s="145"/>
    </row>
    <row r="26" spans="1:17" s="68" customFormat="1" ht="24">
      <c r="A26" s="734">
        <f t="shared" si="0"/>
        <v>13</v>
      </c>
      <c r="B26" s="734" t="s">
        <v>149</v>
      </c>
      <c r="C26" s="735" t="s">
        <v>1562</v>
      </c>
      <c r="D26" s="736"/>
      <c r="E26" s="736" t="s">
        <v>90</v>
      </c>
      <c r="F26" s="742">
        <v>1</v>
      </c>
      <c r="G26" s="736"/>
      <c r="H26" s="145"/>
      <c r="I26" s="148"/>
      <c r="J26" s="148"/>
      <c r="K26" s="148"/>
      <c r="L26" s="145"/>
      <c r="M26" s="145"/>
      <c r="N26" s="145"/>
      <c r="O26" s="145"/>
      <c r="P26" s="145"/>
      <c r="Q26" s="145"/>
    </row>
    <row r="27" spans="1:17" s="68" customFormat="1">
      <c r="A27" s="382">
        <f t="shared" si="0"/>
        <v>14</v>
      </c>
      <c r="B27" s="382" t="s">
        <v>149</v>
      </c>
      <c r="C27" s="739" t="s">
        <v>1558</v>
      </c>
      <c r="D27" s="740"/>
      <c r="E27" s="740" t="s">
        <v>90</v>
      </c>
      <c r="F27" s="743">
        <v>1</v>
      </c>
      <c r="G27" s="740"/>
      <c r="H27" s="150"/>
      <c r="I27" s="151"/>
      <c r="J27" s="151"/>
      <c r="K27" s="151"/>
      <c r="L27" s="150"/>
      <c r="M27" s="150"/>
      <c r="N27" s="150"/>
      <c r="O27" s="150"/>
      <c r="P27" s="150"/>
      <c r="Q27" s="150"/>
    </row>
    <row r="28" spans="1:17">
      <c r="A28" s="890" t="s">
        <v>177</v>
      </c>
      <c r="B28" s="890"/>
      <c r="C28" s="890"/>
      <c r="D28" s="890"/>
      <c r="E28" s="890"/>
      <c r="F28" s="890"/>
      <c r="G28" s="890"/>
      <c r="H28" s="890"/>
      <c r="I28" s="890"/>
      <c r="J28" s="890"/>
      <c r="K28" s="890"/>
      <c r="L28" s="890"/>
      <c r="M28" s="144"/>
      <c r="N28" s="144"/>
      <c r="O28" s="144"/>
      <c r="P28" s="144"/>
      <c r="Q28" s="144"/>
    </row>
    <row r="29" spans="1:17">
      <c r="A29" s="932" t="s">
        <v>36</v>
      </c>
      <c r="B29" s="932"/>
      <c r="C29" s="653"/>
      <c r="D29" s="653"/>
      <c r="E29" s="653"/>
      <c r="F29" s="653"/>
      <c r="G29" s="653"/>
      <c r="H29" s="653"/>
      <c r="I29" s="653"/>
      <c r="J29" s="653"/>
      <c r="K29" s="653"/>
      <c r="L29" s="653"/>
      <c r="M29" s="291"/>
      <c r="N29" s="291"/>
      <c r="O29" s="291"/>
      <c r="P29" s="291"/>
      <c r="Q29" s="291"/>
    </row>
    <row r="30" spans="1:17">
      <c r="A30" s="886" t="s">
        <v>56</v>
      </c>
      <c r="B30" s="886"/>
      <c r="C30" s="886"/>
      <c r="D30" s="886"/>
      <c r="E30" s="886"/>
      <c r="F30" s="886"/>
      <c r="G30" s="886"/>
      <c r="H30" s="886"/>
      <c r="I30" s="886"/>
      <c r="J30" s="886"/>
      <c r="K30" s="886"/>
      <c r="L30" s="886"/>
      <c r="M30" s="886"/>
      <c r="N30" s="886"/>
      <c r="O30" s="886"/>
      <c r="P30" s="886"/>
      <c r="Q30" s="886"/>
    </row>
    <row r="31" spans="1:17">
      <c r="A31" s="910"/>
      <c r="B31" s="910"/>
      <c r="C31" s="50"/>
      <c r="D31" s="50"/>
      <c r="E31" s="50"/>
      <c r="F31" s="50"/>
      <c r="G31" s="50"/>
      <c r="H31" s="50"/>
      <c r="I31" s="50"/>
      <c r="J31" s="50"/>
      <c r="K31" s="50"/>
      <c r="L31" s="50"/>
      <c r="M31" s="50">
        <f>Koptame!A82</f>
        <v>0</v>
      </c>
      <c r="N31" s="50"/>
      <c r="O31" s="50"/>
      <c r="P31" s="50"/>
      <c r="Q31" s="50"/>
    </row>
    <row r="32" spans="1:17">
      <c r="A32" s="906" t="s">
        <v>7</v>
      </c>
      <c r="B32" s="906"/>
      <c r="C32" s="307"/>
      <c r="D32" s="307"/>
      <c r="E32" s="50"/>
      <c r="F32" s="50"/>
      <c r="G32" s="50"/>
      <c r="H32" s="50"/>
      <c r="I32" s="50"/>
      <c r="J32" s="50"/>
      <c r="K32" s="50"/>
      <c r="L32" s="50"/>
      <c r="M32" s="307"/>
      <c r="N32" s="81">
        <f>Koptame!B83</f>
        <v>0</v>
      </c>
      <c r="O32" s="81"/>
      <c r="P32" s="50"/>
      <c r="Q32" s="50"/>
    </row>
    <row r="33" spans="1:17" s="50" customFormat="1" collapsed="1">
      <c r="A33" s="932"/>
      <c r="B33" s="932"/>
      <c r="C33" s="1"/>
      <c r="D33" s="1"/>
      <c r="E33" s="1"/>
      <c r="F33" s="1"/>
      <c r="G33" s="1"/>
      <c r="H33" s="1"/>
      <c r="I33" s="1"/>
      <c r="J33" s="1"/>
      <c r="K33" s="1"/>
      <c r="L33" s="1"/>
      <c r="M33" s="1"/>
      <c r="N33" s="1"/>
      <c r="O33" s="1"/>
      <c r="P33" s="1"/>
      <c r="Q33" s="1"/>
    </row>
    <row r="34" spans="1:17">
      <c r="A34" s="886"/>
      <c r="B34" s="886"/>
      <c r="C34" s="886"/>
      <c r="D34" s="886"/>
      <c r="E34" s="886"/>
      <c r="F34" s="886"/>
      <c r="G34" s="886"/>
      <c r="H34" s="886"/>
      <c r="I34" s="886"/>
      <c r="J34" s="886"/>
      <c r="K34" s="886"/>
      <c r="L34" s="886"/>
      <c r="M34" s="886"/>
      <c r="N34" s="886"/>
      <c r="O34" s="886"/>
      <c r="P34" s="886"/>
      <c r="Q34" s="886"/>
    </row>
    <row r="35" spans="1:17">
      <c r="A35" s="910"/>
      <c r="B35" s="910"/>
      <c r="C35" s="50"/>
      <c r="D35" s="50"/>
      <c r="E35" s="50"/>
      <c r="F35" s="50"/>
      <c r="G35" s="50"/>
      <c r="H35" s="50"/>
      <c r="I35" s="50"/>
      <c r="J35" s="50"/>
      <c r="K35" s="50"/>
      <c r="L35" s="50"/>
      <c r="M35" s="50"/>
      <c r="N35" s="50"/>
      <c r="O35" s="50"/>
      <c r="P35" s="50"/>
      <c r="Q35" s="50"/>
    </row>
    <row r="36" spans="1:17">
      <c r="A36" s="906"/>
      <c r="B36" s="906"/>
      <c r="C36" s="307"/>
      <c r="D36" s="307"/>
      <c r="E36" s="50"/>
      <c r="F36" s="50"/>
      <c r="G36" s="50"/>
      <c r="H36" s="50"/>
      <c r="I36" s="50"/>
      <c r="J36" s="50"/>
      <c r="K36" s="50"/>
      <c r="L36" s="50"/>
      <c r="M36" s="307"/>
      <c r="N36" s="81"/>
      <c r="O36" s="81"/>
      <c r="P36" s="50"/>
      <c r="Q36" s="50"/>
    </row>
  </sheetData>
  <mergeCells count="29">
    <mergeCell ref="A33:B33"/>
    <mergeCell ref="A34:Q34"/>
    <mergeCell ref="A35:B35"/>
    <mergeCell ref="A36:B36"/>
    <mergeCell ref="A28:L28"/>
    <mergeCell ref="A29:B29"/>
    <mergeCell ref="A30:Q30"/>
    <mergeCell ref="A31:B31"/>
    <mergeCell ref="A32:B32"/>
    <mergeCell ref="A1:Q1"/>
    <mergeCell ref="A3:B3"/>
    <mergeCell ref="C3:Q3"/>
    <mergeCell ref="A4:B4"/>
    <mergeCell ref="C4:Q4"/>
    <mergeCell ref="A2:Q2"/>
    <mergeCell ref="A5:B5"/>
    <mergeCell ref="C5:Q5"/>
    <mergeCell ref="A6:B6"/>
    <mergeCell ref="C6:Q6"/>
    <mergeCell ref="A7:B7"/>
    <mergeCell ref="C7:Q7"/>
    <mergeCell ref="G10:L10"/>
    <mergeCell ref="M10:Q10"/>
    <mergeCell ref="A10:A11"/>
    <mergeCell ref="B10:B11"/>
    <mergeCell ref="C10:C11"/>
    <mergeCell ref="E10:E11"/>
    <mergeCell ref="F10:F11"/>
    <mergeCell ref="D10:D11"/>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46"/>
  <sheetViews>
    <sheetView showZeros="0" zoomScale="75" zoomScaleNormal="75" zoomScaleSheetLayoutView="80" workbookViewId="0">
      <selection activeCell="E12" sqref="E12"/>
    </sheetView>
  </sheetViews>
  <sheetFormatPr defaultColWidth="9.140625" defaultRowHeight="15"/>
  <cols>
    <col min="1" max="1" width="8.7109375" style="46" customWidth="1"/>
    <col min="2" max="2" width="11.7109375" style="48" customWidth="1"/>
    <col min="3" max="3" width="45.7109375" style="46" customWidth="1"/>
    <col min="4" max="4" width="8.7109375" style="46" customWidth="1"/>
    <col min="5" max="5" width="8.7109375" style="321" customWidth="1"/>
    <col min="6" max="7" width="8.7109375" style="48" customWidth="1"/>
    <col min="8" max="11" width="8.7109375" style="46" customWidth="1"/>
    <col min="12" max="16" width="12.7109375" style="46" customWidth="1"/>
    <col min="17" max="17" width="9.140625" style="189"/>
    <col min="18" max="16384" width="9.140625" style="46"/>
  </cols>
  <sheetData>
    <row r="1" spans="1:17" s="45" customFormat="1" ht="15.75">
      <c r="A1" s="875" t="s">
        <v>55</v>
      </c>
      <c r="B1" s="875"/>
      <c r="C1" s="875"/>
      <c r="D1" s="875"/>
      <c r="E1" s="875"/>
      <c r="F1" s="875"/>
      <c r="G1" s="875"/>
      <c r="H1" s="875"/>
      <c r="I1" s="875"/>
      <c r="J1" s="875"/>
      <c r="K1" s="875"/>
      <c r="L1" s="875"/>
      <c r="M1" s="875"/>
      <c r="N1" s="875"/>
      <c r="O1" s="875"/>
      <c r="P1" s="875"/>
      <c r="Q1" s="188"/>
    </row>
    <row r="2" spans="1:17" s="45" customFormat="1" ht="15.75">
      <c r="A2" s="877" t="s">
        <v>176</v>
      </c>
      <c r="B2" s="877"/>
      <c r="C2" s="877"/>
      <c r="D2" s="877"/>
      <c r="E2" s="877"/>
      <c r="F2" s="877"/>
      <c r="G2" s="877"/>
      <c r="H2" s="877"/>
      <c r="I2" s="877"/>
      <c r="J2" s="877"/>
      <c r="K2" s="877"/>
      <c r="L2" s="877"/>
      <c r="M2" s="877"/>
      <c r="N2" s="877"/>
      <c r="O2" s="877"/>
      <c r="P2" s="877"/>
      <c r="Q2" s="188"/>
    </row>
    <row r="3" spans="1:17" s="54" customFormat="1" ht="15.75" customHeight="1">
      <c r="A3" s="876" t="s">
        <v>10</v>
      </c>
      <c r="B3" s="876"/>
      <c r="C3" s="859" t="s">
        <v>117</v>
      </c>
      <c r="D3" s="859"/>
      <c r="E3" s="859"/>
      <c r="F3" s="859"/>
      <c r="G3" s="859"/>
      <c r="H3" s="859"/>
      <c r="I3" s="859"/>
      <c r="J3" s="859"/>
      <c r="K3" s="859"/>
      <c r="L3" s="859"/>
      <c r="M3" s="859"/>
      <c r="N3" s="859"/>
      <c r="O3" s="859"/>
      <c r="P3" s="859"/>
      <c r="Q3" s="194"/>
    </row>
    <row r="4" spans="1:17" s="54" customFormat="1" ht="15.75" customHeight="1">
      <c r="A4" s="873" t="s">
        <v>11</v>
      </c>
      <c r="B4" s="873"/>
      <c r="C4" s="859" t="s">
        <v>118</v>
      </c>
      <c r="D4" s="859"/>
      <c r="E4" s="859"/>
      <c r="F4" s="859"/>
      <c r="G4" s="859"/>
      <c r="H4" s="859"/>
      <c r="I4" s="859"/>
      <c r="J4" s="859"/>
      <c r="K4" s="859"/>
      <c r="L4" s="859"/>
      <c r="M4" s="859"/>
      <c r="N4" s="859"/>
      <c r="O4" s="859"/>
      <c r="P4" s="859"/>
      <c r="Q4" s="194"/>
    </row>
    <row r="5" spans="1:17" s="54" customFormat="1" ht="15.75" customHeight="1">
      <c r="A5" s="873" t="s">
        <v>12</v>
      </c>
      <c r="B5" s="873"/>
      <c r="C5" s="859" t="s">
        <v>50</v>
      </c>
      <c r="D5" s="859"/>
      <c r="E5" s="859"/>
      <c r="F5" s="859"/>
      <c r="G5" s="859"/>
      <c r="H5" s="859"/>
      <c r="I5" s="859"/>
      <c r="J5" s="859"/>
      <c r="K5" s="859"/>
      <c r="L5" s="859"/>
      <c r="M5" s="859"/>
      <c r="N5" s="859"/>
      <c r="O5" s="859"/>
      <c r="P5" s="859"/>
      <c r="Q5" s="194"/>
    </row>
    <row r="6" spans="1:17" s="54" customFormat="1" ht="15.75">
      <c r="A6" s="873" t="s">
        <v>30</v>
      </c>
      <c r="B6" s="873"/>
      <c r="C6" s="874">
        <f>Koptame!B10</f>
        <v>0</v>
      </c>
      <c r="D6" s="874"/>
      <c r="E6" s="874"/>
      <c r="F6" s="874"/>
      <c r="G6" s="874"/>
      <c r="H6" s="874"/>
      <c r="I6" s="874"/>
      <c r="J6" s="874"/>
      <c r="K6" s="874"/>
      <c r="L6" s="874"/>
      <c r="M6" s="874"/>
      <c r="N6" s="874"/>
      <c r="O6" s="874"/>
      <c r="P6" s="874"/>
      <c r="Q6" s="194"/>
    </row>
    <row r="7" spans="1:17" s="54" customFormat="1" ht="15.75" customHeight="1">
      <c r="A7" s="873" t="s">
        <v>54</v>
      </c>
      <c r="B7" s="873"/>
      <c r="C7" s="873"/>
      <c r="D7" s="873"/>
      <c r="E7" s="873"/>
      <c r="F7" s="873"/>
      <c r="G7" s="873"/>
      <c r="H7" s="873"/>
      <c r="I7" s="873"/>
      <c r="J7" s="873"/>
      <c r="K7" s="873"/>
      <c r="L7" s="873"/>
      <c r="M7" s="873"/>
      <c r="N7" s="873"/>
      <c r="O7" s="873"/>
      <c r="P7" s="873"/>
      <c r="Q7" s="194"/>
    </row>
    <row r="8" spans="1:17" ht="15.75">
      <c r="A8" s="47"/>
      <c r="B8" s="47"/>
      <c r="C8" s="47"/>
      <c r="D8" s="47"/>
      <c r="E8" s="320"/>
      <c r="F8" s="47"/>
      <c r="G8" s="47"/>
      <c r="H8" s="47"/>
      <c r="I8" s="47"/>
      <c r="J8" s="47"/>
      <c r="K8" s="47"/>
      <c r="N8" s="55"/>
      <c r="O8" s="56" t="s">
        <v>52</v>
      </c>
      <c r="P8" s="57">
        <f>P40</f>
        <v>0</v>
      </c>
    </row>
    <row r="9" spans="1:17">
      <c r="B9" s="46"/>
      <c r="F9" s="46"/>
      <c r="G9" s="46"/>
    </row>
    <row r="10" spans="1:17" ht="14.25" customHeight="1">
      <c r="A10" s="879" t="s">
        <v>14</v>
      </c>
      <c r="B10" s="880" t="s">
        <v>21</v>
      </c>
      <c r="C10" s="882" t="s">
        <v>22</v>
      </c>
      <c r="D10" s="883" t="s">
        <v>23</v>
      </c>
      <c r="E10" s="884" t="s">
        <v>24</v>
      </c>
      <c r="F10" s="888" t="s">
        <v>25</v>
      </c>
      <c r="G10" s="888"/>
      <c r="H10" s="888"/>
      <c r="I10" s="888"/>
      <c r="J10" s="888"/>
      <c r="K10" s="888"/>
      <c r="L10" s="888" t="s">
        <v>26</v>
      </c>
      <c r="M10" s="888"/>
      <c r="N10" s="888"/>
      <c r="O10" s="888"/>
      <c r="P10" s="888"/>
    </row>
    <row r="11" spans="1:17" ht="73.5" customHeight="1">
      <c r="A11" s="879"/>
      <c r="B11" s="881"/>
      <c r="C11" s="882"/>
      <c r="D11" s="883"/>
      <c r="E11" s="884"/>
      <c r="F11" s="306" t="s">
        <v>27</v>
      </c>
      <c r="G11" s="306" t="s">
        <v>37</v>
      </c>
      <c r="H11" s="306" t="s">
        <v>38</v>
      </c>
      <c r="I11" s="306" t="s">
        <v>39</v>
      </c>
      <c r="J11" s="306" t="s">
        <v>40</v>
      </c>
      <c r="K11" s="306" t="s">
        <v>41</v>
      </c>
      <c r="L11" s="306" t="s">
        <v>18</v>
      </c>
      <c r="M11" s="306" t="s">
        <v>38</v>
      </c>
      <c r="N11" s="306" t="s">
        <v>39</v>
      </c>
      <c r="O11" s="306" t="s">
        <v>40</v>
      </c>
      <c r="P11" s="306" t="s">
        <v>42</v>
      </c>
    </row>
    <row r="12" spans="1:17" ht="15" customHeight="1">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7" s="49" customFormat="1">
      <c r="A13" s="116"/>
      <c r="B13" s="116"/>
      <c r="C13" s="343" t="s">
        <v>176</v>
      </c>
      <c r="D13" s="117"/>
      <c r="E13" s="322"/>
      <c r="F13" s="118"/>
      <c r="G13" s="118"/>
      <c r="H13" s="119"/>
      <c r="I13" s="119"/>
      <c r="J13" s="119"/>
      <c r="K13" s="119">
        <f>SUM(H13:J13)</f>
        <v>0</v>
      </c>
      <c r="L13" s="118">
        <f t="shared" ref="L13" si="0">ROUND(F13*E13,2)</f>
        <v>0</v>
      </c>
      <c r="M13" s="120">
        <f t="shared" ref="M13" si="1">ROUND(H13*E13,2)</f>
        <v>0</v>
      </c>
      <c r="N13" s="120">
        <f t="shared" ref="N13" si="2">ROUND(I13*E13,2)</f>
        <v>0</v>
      </c>
      <c r="O13" s="120">
        <f t="shared" ref="O13" si="3">ROUND(J13*E13,2)</f>
        <v>0</v>
      </c>
      <c r="P13" s="120">
        <f t="shared" ref="P13" si="4">SUM(M13:O13)</f>
        <v>0</v>
      </c>
      <c r="Q13" s="193"/>
    </row>
    <row r="14" spans="1:17" s="49" customFormat="1">
      <c r="A14" s="344">
        <f>A13+1</f>
        <v>1</v>
      </c>
      <c r="B14" s="344" t="s">
        <v>149</v>
      </c>
      <c r="C14" s="345" t="s">
        <v>150</v>
      </c>
      <c r="D14" s="346" t="s">
        <v>77</v>
      </c>
      <c r="E14" s="347">
        <v>180</v>
      </c>
      <c r="F14" s="168"/>
      <c r="G14" s="121"/>
      <c r="H14" s="121"/>
      <c r="I14" s="121"/>
      <c r="J14" s="121"/>
      <c r="K14" s="121"/>
      <c r="L14" s="121"/>
      <c r="M14" s="122"/>
      <c r="N14" s="122"/>
      <c r="O14" s="122"/>
      <c r="P14" s="122"/>
      <c r="Q14" s="193"/>
    </row>
    <row r="15" spans="1:17" s="49" customFormat="1">
      <c r="A15" s="348">
        <f>A14+1</f>
        <v>2</v>
      </c>
      <c r="B15" s="348" t="s">
        <v>149</v>
      </c>
      <c r="C15" s="349" t="s">
        <v>151</v>
      </c>
      <c r="D15" s="350" t="s">
        <v>80</v>
      </c>
      <c r="E15" s="351">
        <v>1</v>
      </c>
      <c r="F15" s="123"/>
      <c r="G15" s="137"/>
      <c r="H15" s="137"/>
      <c r="I15" s="137"/>
      <c r="J15" s="137"/>
      <c r="K15" s="137"/>
      <c r="L15" s="137"/>
      <c r="M15" s="138"/>
      <c r="N15" s="138"/>
      <c r="O15" s="138"/>
      <c r="P15" s="138"/>
      <c r="Q15" s="193"/>
    </row>
    <row r="16" spans="1:17" s="49" customFormat="1">
      <c r="A16" s="348">
        <f t="shared" ref="A16:A34" si="5">A15+1</f>
        <v>3</v>
      </c>
      <c r="B16" s="348" t="s">
        <v>149</v>
      </c>
      <c r="C16" s="349" t="s">
        <v>152</v>
      </c>
      <c r="D16" s="350" t="s">
        <v>90</v>
      </c>
      <c r="E16" s="351">
        <v>1</v>
      </c>
      <c r="F16" s="123"/>
      <c r="G16" s="137"/>
      <c r="H16" s="137"/>
      <c r="I16" s="137"/>
      <c r="J16" s="137"/>
      <c r="K16" s="137"/>
      <c r="L16" s="137"/>
      <c r="M16" s="138"/>
      <c r="N16" s="138"/>
      <c r="O16" s="138"/>
      <c r="P16" s="138"/>
      <c r="Q16" s="193"/>
    </row>
    <row r="17" spans="1:17" s="49" customFormat="1">
      <c r="A17" s="348">
        <f t="shared" si="5"/>
        <v>4</v>
      </c>
      <c r="B17" s="348" t="s">
        <v>149</v>
      </c>
      <c r="C17" s="349" t="s">
        <v>153</v>
      </c>
      <c r="D17" s="350" t="s">
        <v>90</v>
      </c>
      <c r="E17" s="351">
        <v>3</v>
      </c>
      <c r="F17" s="123"/>
      <c r="G17" s="137"/>
      <c r="H17" s="137"/>
      <c r="I17" s="137"/>
      <c r="J17" s="137"/>
      <c r="K17" s="137"/>
      <c r="L17" s="137"/>
      <c r="M17" s="138"/>
      <c r="N17" s="138"/>
      <c r="O17" s="138"/>
      <c r="P17" s="138"/>
      <c r="Q17" s="193"/>
    </row>
    <row r="18" spans="1:17" s="49" customFormat="1">
      <c r="A18" s="348">
        <f t="shared" si="5"/>
        <v>5</v>
      </c>
      <c r="B18" s="348" t="s">
        <v>149</v>
      </c>
      <c r="C18" s="349" t="s">
        <v>154</v>
      </c>
      <c r="D18" s="350" t="s">
        <v>90</v>
      </c>
      <c r="E18" s="351">
        <v>1</v>
      </c>
      <c r="F18" s="123"/>
      <c r="G18" s="137"/>
      <c r="H18" s="137"/>
      <c r="I18" s="137"/>
      <c r="J18" s="137"/>
      <c r="K18" s="137"/>
      <c r="L18" s="137"/>
      <c r="M18" s="138"/>
      <c r="N18" s="138"/>
      <c r="O18" s="138"/>
      <c r="P18" s="138"/>
      <c r="Q18" s="193"/>
    </row>
    <row r="19" spans="1:17" s="49" customFormat="1">
      <c r="A19" s="348">
        <f t="shared" si="5"/>
        <v>6</v>
      </c>
      <c r="B19" s="348" t="s">
        <v>149</v>
      </c>
      <c r="C19" s="349" t="s">
        <v>155</v>
      </c>
      <c r="D19" s="350" t="s">
        <v>90</v>
      </c>
      <c r="E19" s="351">
        <v>1</v>
      </c>
      <c r="F19" s="123"/>
      <c r="G19" s="137"/>
      <c r="H19" s="137"/>
      <c r="I19" s="137"/>
      <c r="J19" s="137"/>
      <c r="K19" s="137"/>
      <c r="L19" s="137"/>
      <c r="M19" s="138"/>
      <c r="N19" s="138"/>
      <c r="O19" s="138"/>
      <c r="P19" s="138"/>
      <c r="Q19" s="193"/>
    </row>
    <row r="20" spans="1:17" s="49" customFormat="1">
      <c r="A20" s="348">
        <f t="shared" si="5"/>
        <v>7</v>
      </c>
      <c r="B20" s="348" t="s">
        <v>149</v>
      </c>
      <c r="C20" s="349" t="s">
        <v>156</v>
      </c>
      <c r="D20" s="350" t="s">
        <v>90</v>
      </c>
      <c r="E20" s="351">
        <v>1</v>
      </c>
      <c r="F20" s="123"/>
      <c r="G20" s="137"/>
      <c r="H20" s="137"/>
      <c r="I20" s="137"/>
      <c r="J20" s="137"/>
      <c r="K20" s="137"/>
      <c r="L20" s="137"/>
      <c r="M20" s="138"/>
      <c r="N20" s="138"/>
      <c r="O20" s="138"/>
      <c r="P20" s="138"/>
      <c r="Q20" s="193"/>
    </row>
    <row r="21" spans="1:17" s="49" customFormat="1">
      <c r="A21" s="348">
        <f t="shared" si="5"/>
        <v>8</v>
      </c>
      <c r="B21" s="348" t="s">
        <v>149</v>
      </c>
      <c r="C21" s="349" t="s">
        <v>157</v>
      </c>
      <c r="D21" s="350" t="s">
        <v>90</v>
      </c>
      <c r="E21" s="351">
        <v>3</v>
      </c>
      <c r="F21" s="123"/>
      <c r="G21" s="137"/>
      <c r="H21" s="137"/>
      <c r="I21" s="137"/>
      <c r="J21" s="137"/>
      <c r="K21" s="137"/>
      <c r="L21" s="137"/>
      <c r="M21" s="138"/>
      <c r="N21" s="138"/>
      <c r="O21" s="138"/>
      <c r="P21" s="138"/>
      <c r="Q21" s="193"/>
    </row>
    <row r="22" spans="1:17" s="49" customFormat="1">
      <c r="A22" s="348">
        <f t="shared" si="5"/>
        <v>9</v>
      </c>
      <c r="B22" s="348" t="s">
        <v>149</v>
      </c>
      <c r="C22" s="349" t="s">
        <v>158</v>
      </c>
      <c r="D22" s="352" t="s">
        <v>80</v>
      </c>
      <c r="E22" s="351">
        <v>4</v>
      </c>
      <c r="F22" s="123"/>
      <c r="G22" s="137"/>
      <c r="H22" s="137"/>
      <c r="I22" s="137"/>
      <c r="J22" s="137"/>
      <c r="K22" s="137"/>
      <c r="L22" s="137"/>
      <c r="M22" s="138"/>
      <c r="N22" s="138"/>
      <c r="O22" s="138"/>
      <c r="P22" s="138"/>
      <c r="Q22" s="193"/>
    </row>
    <row r="23" spans="1:17" s="49" customFormat="1">
      <c r="A23" s="348">
        <f t="shared" si="5"/>
        <v>10</v>
      </c>
      <c r="B23" s="348" t="s">
        <v>149</v>
      </c>
      <c r="C23" s="349" t="s">
        <v>159</v>
      </c>
      <c r="D23" s="352" t="s">
        <v>82</v>
      </c>
      <c r="E23" s="351">
        <v>86</v>
      </c>
      <c r="F23" s="123"/>
      <c r="G23" s="137"/>
      <c r="H23" s="137"/>
      <c r="I23" s="137"/>
      <c r="J23" s="137"/>
      <c r="K23" s="137"/>
      <c r="L23" s="137"/>
      <c r="M23" s="138"/>
      <c r="N23" s="138"/>
      <c r="O23" s="138"/>
      <c r="P23" s="138"/>
      <c r="Q23" s="193"/>
    </row>
    <row r="24" spans="1:17" s="49" customFormat="1">
      <c r="A24" s="348">
        <f t="shared" si="5"/>
        <v>11</v>
      </c>
      <c r="B24" s="348" t="s">
        <v>149</v>
      </c>
      <c r="C24" s="349" t="s">
        <v>160</v>
      </c>
      <c r="D24" s="350" t="s">
        <v>77</v>
      </c>
      <c r="E24" s="351">
        <f>E14</f>
        <v>180</v>
      </c>
      <c r="F24" s="123"/>
      <c r="G24" s="137"/>
      <c r="H24" s="137"/>
      <c r="I24" s="137"/>
      <c r="J24" s="137"/>
      <c r="K24" s="137"/>
      <c r="L24" s="137"/>
      <c r="M24" s="138"/>
      <c r="N24" s="138"/>
      <c r="O24" s="138"/>
      <c r="P24" s="138"/>
      <c r="Q24" s="193"/>
    </row>
    <row r="25" spans="1:17" s="49" customFormat="1">
      <c r="A25" s="348">
        <f t="shared" si="5"/>
        <v>12</v>
      </c>
      <c r="B25" s="348" t="s">
        <v>149</v>
      </c>
      <c r="C25" s="349" t="s">
        <v>161</v>
      </c>
      <c r="D25" s="350" t="s">
        <v>80</v>
      </c>
      <c r="E25" s="351">
        <v>1</v>
      </c>
      <c r="F25" s="123"/>
      <c r="G25" s="137"/>
      <c r="H25" s="137"/>
      <c r="I25" s="137"/>
      <c r="J25" s="137"/>
      <c r="K25" s="137"/>
      <c r="L25" s="137"/>
      <c r="M25" s="138"/>
      <c r="N25" s="138"/>
      <c r="O25" s="138"/>
      <c r="P25" s="138"/>
      <c r="Q25" s="193"/>
    </row>
    <row r="26" spans="1:17" s="49" customFormat="1">
      <c r="A26" s="348">
        <f t="shared" si="5"/>
        <v>13</v>
      </c>
      <c r="B26" s="348" t="s">
        <v>149</v>
      </c>
      <c r="C26" s="353" t="s">
        <v>162</v>
      </c>
      <c r="D26" s="352" t="s">
        <v>79</v>
      </c>
      <c r="E26" s="351">
        <v>12</v>
      </c>
      <c r="F26" s="123"/>
      <c r="G26" s="137"/>
      <c r="H26" s="137"/>
      <c r="I26" s="137"/>
      <c r="J26" s="137"/>
      <c r="K26" s="137"/>
      <c r="L26" s="137"/>
      <c r="M26" s="138"/>
      <c r="N26" s="138"/>
      <c r="O26" s="138"/>
      <c r="P26" s="138"/>
      <c r="Q26" s="193"/>
    </row>
    <row r="27" spans="1:17" s="49" customFormat="1">
      <c r="A27" s="348">
        <f t="shared" si="5"/>
        <v>14</v>
      </c>
      <c r="B27" s="348" t="s">
        <v>149</v>
      </c>
      <c r="C27" s="353" t="s">
        <v>163</v>
      </c>
      <c r="D27" s="352" t="s">
        <v>79</v>
      </c>
      <c r="E27" s="351">
        <f>E26</f>
        <v>12</v>
      </c>
      <c r="F27" s="123"/>
      <c r="G27" s="137"/>
      <c r="H27" s="137"/>
      <c r="I27" s="137"/>
      <c r="J27" s="137"/>
      <c r="K27" s="137"/>
      <c r="L27" s="137"/>
      <c r="M27" s="138"/>
      <c r="N27" s="138"/>
      <c r="O27" s="138"/>
      <c r="P27" s="138"/>
      <c r="Q27" s="193"/>
    </row>
    <row r="28" spans="1:17" s="49" customFormat="1">
      <c r="A28" s="348">
        <f t="shared" si="5"/>
        <v>15</v>
      </c>
      <c r="B28" s="348" t="s">
        <v>149</v>
      </c>
      <c r="C28" s="353" t="s">
        <v>164</v>
      </c>
      <c r="D28" s="352" t="s">
        <v>79</v>
      </c>
      <c r="E28" s="351">
        <f>E31</f>
        <v>12</v>
      </c>
      <c r="F28" s="123"/>
      <c r="G28" s="137"/>
      <c r="H28" s="137"/>
      <c r="I28" s="137"/>
      <c r="J28" s="137"/>
      <c r="K28" s="137"/>
      <c r="L28" s="137"/>
      <c r="M28" s="138"/>
      <c r="N28" s="138"/>
      <c r="O28" s="138"/>
      <c r="P28" s="138"/>
      <c r="Q28" s="193"/>
    </row>
    <row r="29" spans="1:17" s="49" customFormat="1">
      <c r="A29" s="348">
        <f t="shared" si="5"/>
        <v>16</v>
      </c>
      <c r="B29" s="348" t="s">
        <v>149</v>
      </c>
      <c r="C29" s="353" t="s">
        <v>165</v>
      </c>
      <c r="D29" s="352" t="s">
        <v>79</v>
      </c>
      <c r="E29" s="351">
        <f>E32</f>
        <v>12</v>
      </c>
      <c r="F29" s="123"/>
      <c r="G29" s="137"/>
      <c r="H29" s="137"/>
      <c r="I29" s="137"/>
      <c r="J29" s="137"/>
      <c r="K29" s="137"/>
      <c r="L29" s="137"/>
      <c r="M29" s="138"/>
      <c r="N29" s="138"/>
      <c r="O29" s="138"/>
      <c r="P29" s="138"/>
      <c r="Q29" s="193"/>
    </row>
    <row r="30" spans="1:17" s="49" customFormat="1">
      <c r="A30" s="348">
        <f t="shared" si="5"/>
        <v>17</v>
      </c>
      <c r="B30" s="348" t="s">
        <v>149</v>
      </c>
      <c r="C30" s="353" t="s">
        <v>166</v>
      </c>
      <c r="D30" s="352" t="s">
        <v>79</v>
      </c>
      <c r="E30" s="351">
        <f>E26</f>
        <v>12</v>
      </c>
      <c r="F30" s="123"/>
      <c r="G30" s="137"/>
      <c r="H30" s="137"/>
      <c r="I30" s="137"/>
      <c r="J30" s="137"/>
      <c r="K30" s="137"/>
      <c r="L30" s="137"/>
      <c r="M30" s="138"/>
      <c r="N30" s="138"/>
      <c r="O30" s="138"/>
      <c r="P30" s="138"/>
      <c r="Q30" s="193"/>
    </row>
    <row r="31" spans="1:17" s="49" customFormat="1">
      <c r="A31" s="348">
        <f t="shared" si="5"/>
        <v>18</v>
      </c>
      <c r="B31" s="348" t="s">
        <v>149</v>
      </c>
      <c r="C31" s="349" t="s">
        <v>167</v>
      </c>
      <c r="D31" s="352" t="s">
        <v>79</v>
      </c>
      <c r="E31" s="351">
        <f>E30</f>
        <v>12</v>
      </c>
      <c r="F31" s="123"/>
      <c r="G31" s="137"/>
      <c r="H31" s="137"/>
      <c r="I31" s="137"/>
      <c r="J31" s="137"/>
      <c r="K31" s="137"/>
      <c r="L31" s="137"/>
      <c r="M31" s="138"/>
      <c r="N31" s="138"/>
      <c r="O31" s="138"/>
      <c r="P31" s="138"/>
      <c r="Q31" s="193"/>
    </row>
    <row r="32" spans="1:17" s="49" customFormat="1">
      <c r="A32" s="348">
        <f t="shared" si="5"/>
        <v>19</v>
      </c>
      <c r="B32" s="348" t="s">
        <v>149</v>
      </c>
      <c r="C32" s="349" t="s">
        <v>168</v>
      </c>
      <c r="D32" s="352" t="s">
        <v>79</v>
      </c>
      <c r="E32" s="351">
        <f>E30</f>
        <v>12</v>
      </c>
      <c r="F32" s="123"/>
      <c r="G32" s="137"/>
      <c r="H32" s="137"/>
      <c r="I32" s="137"/>
      <c r="J32" s="137"/>
      <c r="K32" s="137"/>
      <c r="L32" s="137"/>
      <c r="M32" s="138"/>
      <c r="N32" s="138"/>
      <c r="O32" s="138"/>
      <c r="P32" s="138"/>
      <c r="Q32" s="193"/>
    </row>
    <row r="33" spans="1:17" s="49" customFormat="1">
      <c r="A33" s="348">
        <f t="shared" si="5"/>
        <v>20</v>
      </c>
      <c r="B33" s="348" t="s">
        <v>149</v>
      </c>
      <c r="C33" s="349" t="s">
        <v>169</v>
      </c>
      <c r="D33" s="350" t="s">
        <v>90</v>
      </c>
      <c r="E33" s="351">
        <v>3</v>
      </c>
      <c r="F33" s="123"/>
      <c r="G33" s="137"/>
      <c r="H33" s="137"/>
      <c r="I33" s="137"/>
      <c r="J33" s="137"/>
      <c r="K33" s="137"/>
      <c r="L33" s="137"/>
      <c r="M33" s="138"/>
      <c r="N33" s="138"/>
      <c r="O33" s="138"/>
      <c r="P33" s="138"/>
      <c r="Q33" s="193"/>
    </row>
    <row r="34" spans="1:17" s="49" customFormat="1">
      <c r="A34" s="348">
        <f t="shared" si="5"/>
        <v>21</v>
      </c>
      <c r="B34" s="348" t="s">
        <v>149</v>
      </c>
      <c r="C34" s="349" t="s">
        <v>170</v>
      </c>
      <c r="D34" s="350" t="s">
        <v>90</v>
      </c>
      <c r="E34" s="351">
        <v>1</v>
      </c>
      <c r="F34" s="123"/>
      <c r="G34" s="137"/>
      <c r="H34" s="137"/>
      <c r="I34" s="137"/>
      <c r="J34" s="137"/>
      <c r="K34" s="137"/>
      <c r="L34" s="137"/>
      <c r="M34" s="138"/>
      <c r="N34" s="138"/>
      <c r="O34" s="138"/>
      <c r="P34" s="138"/>
      <c r="Q34" s="193"/>
    </row>
    <row r="35" spans="1:17" s="49" customFormat="1" ht="24">
      <c r="A35" s="348">
        <v>22</v>
      </c>
      <c r="B35" s="348" t="s">
        <v>149</v>
      </c>
      <c r="C35" s="349" t="s">
        <v>171</v>
      </c>
      <c r="D35" s="350" t="s">
        <v>80</v>
      </c>
      <c r="E35" s="354">
        <v>15</v>
      </c>
      <c r="F35" s="123"/>
      <c r="G35" s="137"/>
      <c r="H35" s="137"/>
      <c r="I35" s="137"/>
      <c r="J35" s="137"/>
      <c r="K35" s="137"/>
      <c r="L35" s="137"/>
      <c r="M35" s="138"/>
      <c r="N35" s="138"/>
      <c r="O35" s="138"/>
      <c r="P35" s="138"/>
      <c r="Q35" s="193"/>
    </row>
    <row r="36" spans="1:17" s="49" customFormat="1">
      <c r="A36" s="348">
        <v>23</v>
      </c>
      <c r="B36" s="348" t="s">
        <v>149</v>
      </c>
      <c r="C36" s="349" t="s">
        <v>172</v>
      </c>
      <c r="D36" s="352" t="s">
        <v>80</v>
      </c>
      <c r="E36" s="351">
        <v>1</v>
      </c>
      <c r="F36" s="123"/>
      <c r="G36" s="137"/>
      <c r="H36" s="137"/>
      <c r="I36" s="137"/>
      <c r="J36" s="137"/>
      <c r="K36" s="137"/>
      <c r="L36" s="137"/>
      <c r="M36" s="138"/>
      <c r="N36" s="138"/>
      <c r="O36" s="138"/>
      <c r="P36" s="138"/>
      <c r="Q36" s="193"/>
    </row>
    <row r="37" spans="1:17" s="49" customFormat="1">
      <c r="A37" s="348">
        <v>24</v>
      </c>
      <c r="B37" s="348" t="s">
        <v>149</v>
      </c>
      <c r="C37" s="349" t="s">
        <v>173</v>
      </c>
      <c r="D37" s="355" t="s">
        <v>1777</v>
      </c>
      <c r="E37" s="351">
        <v>139</v>
      </c>
      <c r="F37" s="123"/>
      <c r="G37" s="137"/>
      <c r="H37" s="137"/>
      <c r="I37" s="137"/>
      <c r="J37" s="137"/>
      <c r="K37" s="137"/>
      <c r="L37" s="137"/>
      <c r="M37" s="138"/>
      <c r="N37" s="138"/>
      <c r="O37" s="138"/>
      <c r="P37" s="138"/>
      <c r="Q37" s="193"/>
    </row>
    <row r="38" spans="1:17" s="49" customFormat="1">
      <c r="A38" s="348">
        <v>25</v>
      </c>
      <c r="B38" s="348" t="s">
        <v>149</v>
      </c>
      <c r="C38" s="356" t="s">
        <v>174</v>
      </c>
      <c r="D38" s="352" t="s">
        <v>79</v>
      </c>
      <c r="E38" s="357">
        <f>E32</f>
        <v>12</v>
      </c>
      <c r="F38" s="123"/>
      <c r="G38" s="137"/>
      <c r="H38" s="137"/>
      <c r="I38" s="137"/>
      <c r="J38" s="137"/>
      <c r="K38" s="137"/>
      <c r="L38" s="137"/>
      <c r="M38" s="138"/>
      <c r="N38" s="138"/>
      <c r="O38" s="138"/>
      <c r="P38" s="138"/>
      <c r="Q38" s="193"/>
    </row>
    <row r="39" spans="1:17" s="49" customFormat="1">
      <c r="A39" s="348">
        <v>26</v>
      </c>
      <c r="B39" s="348" t="s">
        <v>149</v>
      </c>
      <c r="C39" s="349" t="s">
        <v>175</v>
      </c>
      <c r="D39" s="352" t="s">
        <v>79</v>
      </c>
      <c r="E39" s="351">
        <f>E38</f>
        <v>12</v>
      </c>
      <c r="F39" s="123"/>
      <c r="G39" s="137"/>
      <c r="H39" s="137"/>
      <c r="I39" s="137"/>
      <c r="J39" s="137"/>
      <c r="K39" s="137"/>
      <c r="L39" s="137"/>
      <c r="M39" s="138"/>
      <c r="N39" s="138"/>
      <c r="O39" s="138"/>
      <c r="P39" s="138"/>
      <c r="Q39" s="193"/>
    </row>
    <row r="40" spans="1:17" ht="15" customHeight="1">
      <c r="A40" s="890" t="s">
        <v>177</v>
      </c>
      <c r="B40" s="890"/>
      <c r="C40" s="890"/>
      <c r="D40" s="890"/>
      <c r="E40" s="890"/>
      <c r="F40" s="890"/>
      <c r="G40" s="890"/>
      <c r="H40" s="890"/>
      <c r="I40" s="890"/>
      <c r="J40" s="890"/>
      <c r="K40" s="890"/>
      <c r="L40" s="131">
        <f>SUM(L14:L39)</f>
        <v>0</v>
      </c>
      <c r="M40" s="131">
        <f>SUM(M14:M39)</f>
        <v>0</v>
      </c>
      <c r="N40" s="131">
        <f>SUM(N14:N39)</f>
        <v>0</v>
      </c>
      <c r="O40" s="131">
        <f>SUM(O14:O39)</f>
        <v>0</v>
      </c>
      <c r="P40" s="131">
        <f>SUM(P14:P39)</f>
        <v>0</v>
      </c>
    </row>
    <row r="41" spans="1:17" s="1" customFormat="1" ht="15" customHeight="1">
      <c r="A41" s="885" t="s">
        <v>36</v>
      </c>
      <c r="B41" s="885"/>
      <c r="E41" s="98"/>
      <c r="Q41" s="187"/>
    </row>
    <row r="42" spans="1:17" s="1" customFormat="1" ht="15" customHeight="1">
      <c r="A42" s="886" t="s">
        <v>56</v>
      </c>
      <c r="B42" s="886"/>
      <c r="C42" s="886"/>
      <c r="D42" s="886"/>
      <c r="E42" s="886"/>
      <c r="F42" s="886"/>
      <c r="G42" s="886"/>
      <c r="H42" s="886"/>
      <c r="I42" s="886"/>
      <c r="J42" s="886"/>
      <c r="K42" s="886"/>
      <c r="L42" s="886"/>
      <c r="M42" s="886"/>
      <c r="N42" s="886"/>
      <c r="O42" s="886"/>
      <c r="P42" s="886"/>
      <c r="Q42" s="187"/>
    </row>
    <row r="43" spans="1:17" s="9" customFormat="1">
      <c r="A43" s="889"/>
      <c r="B43" s="889"/>
      <c r="E43" s="111"/>
      <c r="L43" s="50">
        <f>Koptame!A37</f>
        <v>0</v>
      </c>
      <c r="M43" s="50"/>
      <c r="N43" s="50"/>
      <c r="O43" s="50"/>
      <c r="P43" s="50"/>
      <c r="Q43" s="190"/>
    </row>
    <row r="44" spans="1:17" s="9" customFormat="1">
      <c r="A44" s="889" t="s">
        <v>7</v>
      </c>
      <c r="B44" s="889"/>
      <c r="C44" s="307"/>
      <c r="E44" s="111"/>
      <c r="L44" s="307"/>
      <c r="M44" s="887">
        <f>Koptame!B38</f>
        <v>0</v>
      </c>
      <c r="N44" s="887"/>
      <c r="O44" s="50"/>
      <c r="P44" s="50"/>
      <c r="Q44" s="190"/>
    </row>
    <row r="45" spans="1:17" s="9" customFormat="1">
      <c r="C45" s="305">
        <f>Koptame!B33</f>
        <v>0</v>
      </c>
      <c r="E45" s="111"/>
      <c r="L45" s="305"/>
      <c r="M45" s="878">
        <f>Koptame!B39</f>
        <v>0</v>
      </c>
      <c r="N45" s="878"/>
      <c r="O45" s="50"/>
      <c r="P45" s="50"/>
      <c r="Q45" s="190"/>
    </row>
    <row r="46" spans="1:17" s="9" customFormat="1" collapsed="1">
      <c r="B46" s="51"/>
      <c r="E46" s="111"/>
      <c r="F46" s="51"/>
      <c r="G46" s="51"/>
      <c r="Q46" s="190"/>
    </row>
  </sheetData>
  <mergeCells count="26">
    <mergeCell ref="M45:N45"/>
    <mergeCell ref="A10:A11"/>
    <mergeCell ref="B10:B11"/>
    <mergeCell ref="C10:C11"/>
    <mergeCell ref="D10:D11"/>
    <mergeCell ref="E10:E11"/>
    <mergeCell ref="A41:B41"/>
    <mergeCell ref="A42:P42"/>
    <mergeCell ref="M44:N44"/>
    <mergeCell ref="F10:K10"/>
    <mergeCell ref="L10:P10"/>
    <mergeCell ref="A44:B44"/>
    <mergeCell ref="A43:B43"/>
    <mergeCell ref="A40:K40"/>
    <mergeCell ref="A1:P1"/>
    <mergeCell ref="A3:B3"/>
    <mergeCell ref="A4:B4"/>
    <mergeCell ref="A2:P2"/>
    <mergeCell ref="C3:P3"/>
    <mergeCell ref="C4:P4"/>
    <mergeCell ref="A5:B5"/>
    <mergeCell ref="A6:B6"/>
    <mergeCell ref="A7:B7"/>
    <mergeCell ref="C5:P5"/>
    <mergeCell ref="C6:P6"/>
    <mergeCell ref="C7:P7"/>
  </mergeCells>
  <conditionalFormatting sqref="C13:C39">
    <cfRule type="expression" priority="1"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P51"/>
  <sheetViews>
    <sheetView showZeros="0" zoomScale="75" zoomScaleNormal="75" zoomScaleSheetLayoutView="80" workbookViewId="0">
      <selection sqref="A1:P1"/>
    </sheetView>
  </sheetViews>
  <sheetFormatPr defaultColWidth="9.140625" defaultRowHeight="15"/>
  <cols>
    <col min="1" max="1" width="8.85546875" style="60" customWidth="1"/>
    <col min="2" max="2" width="11.7109375" style="60" customWidth="1"/>
    <col min="3" max="3" width="45.7109375" style="88" customWidth="1"/>
    <col min="4" max="11" width="8.7109375" style="60" customWidth="1"/>
    <col min="12" max="16" width="12.7109375" style="60" customWidth="1"/>
    <col min="17" max="16384" width="9.140625" style="60"/>
  </cols>
  <sheetData>
    <row r="1" spans="1:16" s="59" customFormat="1" ht="15.75">
      <c r="A1" s="909" t="s">
        <v>75</v>
      </c>
      <c r="B1" s="909"/>
      <c r="C1" s="909"/>
      <c r="D1" s="909"/>
      <c r="E1" s="909"/>
      <c r="F1" s="909"/>
      <c r="G1" s="909"/>
      <c r="H1" s="909"/>
      <c r="I1" s="909"/>
      <c r="J1" s="909"/>
      <c r="K1" s="909"/>
      <c r="L1" s="909"/>
      <c r="M1" s="909"/>
      <c r="N1" s="909"/>
      <c r="O1" s="909"/>
      <c r="P1" s="909"/>
    </row>
    <row r="2" spans="1:16" s="59" customFormat="1" ht="15.75">
      <c r="A2" s="899" t="s">
        <v>708</v>
      </c>
      <c r="B2" s="899"/>
      <c r="C2" s="899"/>
      <c r="D2" s="899"/>
      <c r="E2" s="899"/>
      <c r="F2" s="899"/>
      <c r="G2" s="899"/>
      <c r="H2" s="899"/>
      <c r="I2" s="899"/>
      <c r="J2" s="899"/>
      <c r="K2" s="899"/>
      <c r="L2" s="899"/>
      <c r="M2" s="899"/>
      <c r="N2" s="899"/>
      <c r="O2" s="899"/>
      <c r="P2" s="899"/>
    </row>
    <row r="3" spans="1:16" s="59" customFormat="1" ht="15.6" customHeight="1">
      <c r="A3" s="876" t="s">
        <v>10</v>
      </c>
      <c r="B3" s="876"/>
      <c r="C3" s="859" t="s">
        <v>117</v>
      </c>
      <c r="D3" s="859"/>
      <c r="E3" s="859"/>
      <c r="F3" s="859"/>
      <c r="G3" s="859"/>
      <c r="H3" s="859"/>
      <c r="I3" s="859"/>
      <c r="J3" s="859"/>
      <c r="K3" s="859"/>
      <c r="L3" s="859"/>
      <c r="M3" s="859"/>
      <c r="N3" s="859"/>
      <c r="O3" s="859"/>
      <c r="P3" s="859"/>
    </row>
    <row r="4" spans="1:16" s="59" customFormat="1" ht="15.6" customHeight="1">
      <c r="A4" s="876" t="s">
        <v>11</v>
      </c>
      <c r="B4" s="876"/>
      <c r="C4" s="859" t="s">
        <v>118</v>
      </c>
      <c r="D4" s="859"/>
      <c r="E4" s="859"/>
      <c r="F4" s="859"/>
      <c r="G4" s="859"/>
      <c r="H4" s="859"/>
      <c r="I4" s="859"/>
      <c r="J4" s="859"/>
      <c r="K4" s="859"/>
      <c r="L4" s="859"/>
      <c r="M4" s="859"/>
      <c r="N4" s="859"/>
      <c r="O4" s="859"/>
      <c r="P4" s="859"/>
    </row>
    <row r="5" spans="1:16" s="59" customFormat="1" ht="15.75">
      <c r="A5" s="876" t="s">
        <v>12</v>
      </c>
      <c r="B5" s="876"/>
      <c r="C5" s="859" t="s">
        <v>50</v>
      </c>
      <c r="D5" s="859"/>
      <c r="E5" s="859"/>
      <c r="F5" s="859"/>
      <c r="G5" s="859"/>
      <c r="H5" s="859"/>
      <c r="I5" s="859"/>
      <c r="J5" s="859"/>
      <c r="K5" s="859"/>
      <c r="L5" s="859"/>
      <c r="M5" s="859"/>
      <c r="N5" s="859"/>
      <c r="O5" s="859"/>
      <c r="P5" s="859"/>
    </row>
    <row r="6" spans="1:16" s="59" customFormat="1" ht="15.75">
      <c r="A6" s="876" t="s">
        <v>30</v>
      </c>
      <c r="B6" s="876"/>
      <c r="C6" s="874"/>
      <c r="D6" s="874"/>
      <c r="E6" s="874"/>
      <c r="F6" s="874"/>
      <c r="G6" s="874"/>
      <c r="H6" s="874"/>
      <c r="I6" s="874"/>
      <c r="J6" s="874"/>
      <c r="K6" s="874"/>
      <c r="L6" s="874"/>
      <c r="M6" s="874"/>
      <c r="N6" s="874"/>
      <c r="O6" s="874"/>
      <c r="P6" s="874"/>
    </row>
    <row r="7" spans="1:16" s="59" customFormat="1" ht="15.75">
      <c r="A7" s="876" t="s">
        <v>54</v>
      </c>
      <c r="B7" s="876"/>
      <c r="C7" s="873"/>
      <c r="D7" s="873"/>
      <c r="E7" s="873"/>
      <c r="F7" s="873"/>
      <c r="G7" s="873"/>
      <c r="H7" s="873"/>
      <c r="I7" s="873"/>
      <c r="J7" s="873"/>
      <c r="K7" s="873"/>
      <c r="L7" s="873"/>
      <c r="M7" s="873"/>
      <c r="N7" s="873"/>
      <c r="O7" s="873"/>
      <c r="P7" s="873"/>
    </row>
    <row r="8" spans="1:16" s="59" customFormat="1" ht="15.75">
      <c r="A8" s="73"/>
      <c r="B8" s="73"/>
      <c r="C8" s="73"/>
      <c r="D8" s="73"/>
      <c r="E8" s="73"/>
      <c r="F8" s="73"/>
      <c r="G8" s="73"/>
      <c r="H8" s="73"/>
      <c r="I8" s="73"/>
      <c r="J8" s="73"/>
      <c r="K8" s="73"/>
      <c r="L8" s="66"/>
      <c r="M8" s="66"/>
      <c r="N8" s="74"/>
      <c r="O8" s="63" t="s">
        <v>52</v>
      </c>
      <c r="P8" s="75" t="e">
        <f>#REF!</f>
        <v>#REF!</v>
      </c>
    </row>
    <row r="9" spans="1:16" ht="15.75">
      <c r="A9" s="65"/>
      <c r="B9" s="65"/>
      <c r="C9" s="91"/>
      <c r="D9" s="66"/>
      <c r="E9" s="66"/>
      <c r="F9" s="66"/>
      <c r="G9" s="66"/>
      <c r="H9" s="66"/>
      <c r="I9" s="66"/>
      <c r="J9" s="66"/>
      <c r="K9" s="66"/>
      <c r="L9" s="66"/>
      <c r="M9" s="66"/>
      <c r="N9" s="66"/>
      <c r="O9" s="66"/>
      <c r="P9" s="66"/>
    </row>
    <row r="10" spans="1:16" ht="14.25" customHeight="1">
      <c r="A10" s="893" t="s">
        <v>14</v>
      </c>
      <c r="B10" s="894" t="s">
        <v>21</v>
      </c>
      <c r="C10" s="896" t="s">
        <v>22</v>
      </c>
      <c r="D10" s="897" t="s">
        <v>23</v>
      </c>
      <c r="E10" s="893" t="s">
        <v>24</v>
      </c>
      <c r="F10" s="892" t="s">
        <v>25</v>
      </c>
      <c r="G10" s="892"/>
      <c r="H10" s="892"/>
      <c r="I10" s="892"/>
      <c r="J10" s="892"/>
      <c r="K10" s="892"/>
      <c r="L10" s="892" t="s">
        <v>26</v>
      </c>
      <c r="M10" s="892"/>
      <c r="N10" s="892"/>
      <c r="O10" s="892"/>
      <c r="P10" s="892"/>
    </row>
    <row r="11" spans="1:16" ht="73.5" customHeight="1">
      <c r="A11" s="893"/>
      <c r="B11" s="895"/>
      <c r="C11" s="896"/>
      <c r="D11" s="897"/>
      <c r="E11" s="893"/>
      <c r="F11" s="309" t="s">
        <v>27</v>
      </c>
      <c r="G11" s="309" t="s">
        <v>37</v>
      </c>
      <c r="H11" s="309" t="s">
        <v>38</v>
      </c>
      <c r="I11" s="309" t="s">
        <v>39</v>
      </c>
      <c r="J11" s="309" t="s">
        <v>40</v>
      </c>
      <c r="K11" s="309" t="s">
        <v>41</v>
      </c>
      <c r="L11" s="309" t="s">
        <v>18</v>
      </c>
      <c r="M11" s="309" t="s">
        <v>38</v>
      </c>
      <c r="N11" s="309" t="s">
        <v>39</v>
      </c>
      <c r="O11" s="309" t="s">
        <v>40</v>
      </c>
      <c r="P11" s="309" t="s">
        <v>42</v>
      </c>
    </row>
    <row r="12" spans="1:16">
      <c r="A12" s="115">
        <v>1</v>
      </c>
      <c r="B12" s="115">
        <v>2</v>
      </c>
      <c r="C12" s="115">
        <v>3</v>
      </c>
      <c r="D12" s="115">
        <v>4</v>
      </c>
      <c r="E12" s="115">
        <v>5</v>
      </c>
      <c r="F12" s="115">
        <v>6</v>
      </c>
      <c r="G12" s="115">
        <v>7</v>
      </c>
      <c r="H12" s="115">
        <v>8</v>
      </c>
      <c r="I12" s="115">
        <v>9</v>
      </c>
      <c r="J12" s="115">
        <v>10</v>
      </c>
      <c r="K12" s="115">
        <v>11</v>
      </c>
      <c r="L12" s="115">
        <v>12</v>
      </c>
      <c r="M12" s="115">
        <v>13</v>
      </c>
      <c r="N12" s="115">
        <v>14</v>
      </c>
      <c r="O12" s="115">
        <v>15</v>
      </c>
      <c r="P12" s="115">
        <v>16</v>
      </c>
    </row>
    <row r="13" spans="1:16" s="68" customFormat="1">
      <c r="A13" s="370"/>
      <c r="B13" s="370"/>
      <c r="C13" s="502" t="s">
        <v>708</v>
      </c>
      <c r="D13" s="370"/>
      <c r="E13" s="370"/>
      <c r="F13" s="118"/>
      <c r="G13" s="118"/>
      <c r="H13" s="287"/>
      <c r="I13" s="287"/>
      <c r="J13" s="287"/>
      <c r="K13" s="119"/>
      <c r="L13" s="118"/>
      <c r="M13" s="119"/>
      <c r="N13" s="119"/>
      <c r="O13" s="119"/>
      <c r="P13" s="119"/>
    </row>
    <row r="14" spans="1:16" s="68" customFormat="1" ht="120.75">
      <c r="A14" s="387">
        <f t="shared" ref="A14:A35" si="0">A13+1</f>
        <v>1</v>
      </c>
      <c r="B14" s="387" t="s">
        <v>149</v>
      </c>
      <c r="C14" s="641" t="s">
        <v>1681</v>
      </c>
      <c r="D14" s="658" t="s">
        <v>90</v>
      </c>
      <c r="E14" s="662">
        <v>9</v>
      </c>
      <c r="F14" s="233"/>
      <c r="G14" s="233"/>
      <c r="H14" s="285"/>
      <c r="I14" s="285"/>
      <c r="J14" s="285"/>
      <c r="K14" s="234"/>
      <c r="L14" s="233"/>
      <c r="M14" s="234"/>
      <c r="N14" s="234"/>
      <c r="O14" s="234"/>
      <c r="P14" s="234"/>
    </row>
    <row r="15" spans="1:16" s="68" customFormat="1" ht="24.75">
      <c r="A15" s="378">
        <f t="shared" si="0"/>
        <v>2</v>
      </c>
      <c r="B15" s="378" t="s">
        <v>149</v>
      </c>
      <c r="C15" s="642" t="s">
        <v>1682</v>
      </c>
      <c r="D15" s="658" t="s">
        <v>90</v>
      </c>
      <c r="E15" s="664">
        <v>9</v>
      </c>
      <c r="F15" s="212"/>
      <c r="G15" s="212"/>
      <c r="H15" s="286"/>
      <c r="I15" s="286"/>
      <c r="J15" s="286"/>
      <c r="K15" s="213"/>
      <c r="L15" s="212"/>
      <c r="M15" s="213"/>
      <c r="N15" s="213"/>
      <c r="O15" s="213"/>
      <c r="P15" s="213"/>
    </row>
    <row r="16" spans="1:16" s="68" customFormat="1" ht="96.75">
      <c r="A16" s="378">
        <f t="shared" si="0"/>
        <v>3</v>
      </c>
      <c r="B16" s="378" t="s">
        <v>149</v>
      </c>
      <c r="C16" s="642" t="s">
        <v>1683</v>
      </c>
      <c r="D16" s="658" t="s">
        <v>90</v>
      </c>
      <c r="E16" s="663">
        <v>30</v>
      </c>
      <c r="F16" s="212"/>
      <c r="G16" s="212"/>
      <c r="H16" s="286"/>
      <c r="I16" s="286"/>
      <c r="J16" s="286"/>
      <c r="K16" s="213"/>
      <c r="L16" s="212"/>
      <c r="M16" s="213"/>
      <c r="N16" s="213"/>
      <c r="O16" s="213"/>
      <c r="P16" s="213"/>
    </row>
    <row r="17" spans="1:16" s="68" customFormat="1" ht="24.75">
      <c r="A17" s="378">
        <f t="shared" si="0"/>
        <v>4</v>
      </c>
      <c r="B17" s="378" t="s">
        <v>149</v>
      </c>
      <c r="C17" s="642" t="s">
        <v>1786</v>
      </c>
      <c r="D17" s="658" t="s">
        <v>90</v>
      </c>
      <c r="E17" s="582">
        <v>30</v>
      </c>
      <c r="F17" s="212"/>
      <c r="G17" s="212"/>
      <c r="H17" s="286"/>
      <c r="I17" s="286"/>
      <c r="J17" s="286"/>
      <c r="K17" s="213"/>
      <c r="L17" s="212"/>
      <c r="M17" s="213"/>
      <c r="N17" s="213"/>
      <c r="O17" s="213"/>
      <c r="P17" s="213"/>
    </row>
    <row r="18" spans="1:16" s="68" customFormat="1">
      <c r="A18" s="378">
        <f t="shared" si="0"/>
        <v>5</v>
      </c>
      <c r="B18" s="378" t="s">
        <v>149</v>
      </c>
      <c r="C18" s="642" t="s">
        <v>1684</v>
      </c>
      <c r="D18" s="658" t="s">
        <v>90</v>
      </c>
      <c r="E18" s="582">
        <v>9</v>
      </c>
      <c r="F18" s="212"/>
      <c r="G18" s="212"/>
      <c r="H18" s="286"/>
      <c r="I18" s="286"/>
      <c r="J18" s="286"/>
      <c r="K18" s="213"/>
      <c r="L18" s="212"/>
      <c r="M18" s="213"/>
      <c r="N18" s="213"/>
      <c r="O18" s="213"/>
      <c r="P18" s="213"/>
    </row>
    <row r="19" spans="1:16" s="68" customFormat="1">
      <c r="A19" s="378">
        <f t="shared" si="0"/>
        <v>6</v>
      </c>
      <c r="B19" s="378" t="s">
        <v>149</v>
      </c>
      <c r="C19" s="642" t="s">
        <v>1685</v>
      </c>
      <c r="D19" s="658" t="s">
        <v>90</v>
      </c>
      <c r="E19" s="582">
        <v>1</v>
      </c>
      <c r="F19" s="212"/>
      <c r="G19" s="212"/>
      <c r="H19" s="286"/>
      <c r="I19" s="286"/>
      <c r="J19" s="286"/>
      <c r="K19" s="213"/>
      <c r="L19" s="212"/>
      <c r="M19" s="213"/>
      <c r="N19" s="213"/>
      <c r="O19" s="213"/>
      <c r="P19" s="213"/>
    </row>
    <row r="20" spans="1:16" s="68" customFormat="1">
      <c r="A20" s="378">
        <f t="shared" si="0"/>
        <v>7</v>
      </c>
      <c r="B20" s="378" t="s">
        <v>149</v>
      </c>
      <c r="C20" s="642" t="s">
        <v>1686</v>
      </c>
      <c r="D20" s="658" t="s">
        <v>93</v>
      </c>
      <c r="E20" s="582">
        <v>39</v>
      </c>
      <c r="F20" s="212"/>
      <c r="G20" s="212"/>
      <c r="H20" s="286"/>
      <c r="I20" s="286"/>
      <c r="J20" s="286"/>
      <c r="K20" s="213"/>
      <c r="L20" s="212"/>
      <c r="M20" s="213"/>
      <c r="N20" s="213"/>
      <c r="O20" s="213"/>
      <c r="P20" s="213"/>
    </row>
    <row r="21" spans="1:16" s="68" customFormat="1">
      <c r="A21" s="378">
        <f t="shared" si="0"/>
        <v>8</v>
      </c>
      <c r="B21" s="378" t="s">
        <v>149</v>
      </c>
      <c r="C21" s="642" t="s">
        <v>1687</v>
      </c>
      <c r="D21" s="658" t="s">
        <v>93</v>
      </c>
      <c r="E21" s="582">
        <v>50</v>
      </c>
      <c r="F21" s="212"/>
      <c r="G21" s="212"/>
      <c r="H21" s="286"/>
      <c r="I21" s="286"/>
      <c r="J21" s="286"/>
      <c r="K21" s="213"/>
      <c r="L21" s="212"/>
      <c r="M21" s="213"/>
      <c r="N21" s="213"/>
      <c r="O21" s="213"/>
      <c r="P21" s="213"/>
    </row>
    <row r="22" spans="1:16" s="68" customFormat="1">
      <c r="A22" s="378">
        <f t="shared" si="0"/>
        <v>9</v>
      </c>
      <c r="B22" s="378" t="s">
        <v>149</v>
      </c>
      <c r="C22" s="642" t="s">
        <v>1688</v>
      </c>
      <c r="D22" s="658" t="s">
        <v>93</v>
      </c>
      <c r="E22" s="582">
        <v>20</v>
      </c>
      <c r="F22" s="212"/>
      <c r="G22" s="212"/>
      <c r="H22" s="286"/>
      <c r="I22" s="286"/>
      <c r="J22" s="286"/>
      <c r="K22" s="213"/>
      <c r="L22" s="212"/>
      <c r="M22" s="213"/>
      <c r="N22" s="213"/>
      <c r="O22" s="213"/>
      <c r="P22" s="213"/>
    </row>
    <row r="23" spans="1:16" s="68" customFormat="1">
      <c r="A23" s="378">
        <f t="shared" si="0"/>
        <v>10</v>
      </c>
      <c r="B23" s="378" t="s">
        <v>149</v>
      </c>
      <c r="C23" s="642" t="s">
        <v>1689</v>
      </c>
      <c r="D23" s="658" t="s">
        <v>93</v>
      </c>
      <c r="E23" s="582">
        <v>4</v>
      </c>
      <c r="F23" s="212"/>
      <c r="G23" s="212"/>
      <c r="H23" s="286"/>
      <c r="I23" s="286"/>
      <c r="J23" s="286"/>
      <c r="K23" s="213"/>
      <c r="L23" s="212"/>
      <c r="M23" s="213"/>
      <c r="N23" s="213"/>
      <c r="O23" s="213"/>
      <c r="P23" s="213"/>
    </row>
    <row r="24" spans="1:16" s="68" customFormat="1">
      <c r="A24" s="378">
        <f t="shared" si="0"/>
        <v>11</v>
      </c>
      <c r="B24" s="378" t="s">
        <v>149</v>
      </c>
      <c r="C24" s="642" t="s">
        <v>1690</v>
      </c>
      <c r="D24" s="658" t="s">
        <v>77</v>
      </c>
      <c r="E24" s="663">
        <v>4000</v>
      </c>
      <c r="F24" s="212"/>
      <c r="G24" s="212"/>
      <c r="H24" s="286"/>
      <c r="I24" s="286"/>
      <c r="J24" s="286"/>
      <c r="K24" s="213"/>
      <c r="L24" s="212"/>
      <c r="M24" s="213"/>
      <c r="N24" s="213"/>
      <c r="O24" s="213"/>
      <c r="P24" s="213"/>
    </row>
    <row r="25" spans="1:16" s="68" customFormat="1" ht="24.75">
      <c r="A25" s="378">
        <f t="shared" si="0"/>
        <v>12</v>
      </c>
      <c r="B25" s="378" t="s">
        <v>149</v>
      </c>
      <c r="C25" s="642" t="s">
        <v>1691</v>
      </c>
      <c r="D25" s="658" t="s">
        <v>93</v>
      </c>
      <c r="E25" s="663">
        <v>2</v>
      </c>
      <c r="F25" s="212"/>
      <c r="G25" s="212"/>
      <c r="H25" s="286"/>
      <c r="I25" s="286"/>
      <c r="J25" s="286"/>
      <c r="K25" s="213"/>
      <c r="L25" s="212"/>
      <c r="M25" s="213"/>
      <c r="N25" s="213"/>
      <c r="O25" s="213"/>
      <c r="P25" s="213"/>
    </row>
    <row r="26" spans="1:16" s="68" customFormat="1">
      <c r="A26" s="378">
        <f t="shared" si="0"/>
        <v>13</v>
      </c>
      <c r="B26" s="378" t="s">
        <v>149</v>
      </c>
      <c r="C26" s="642" t="s">
        <v>1443</v>
      </c>
      <c r="D26" s="658" t="s">
        <v>93</v>
      </c>
      <c r="E26" s="664">
        <v>4</v>
      </c>
      <c r="F26" s="212"/>
      <c r="G26" s="212"/>
      <c r="H26" s="286"/>
      <c r="I26" s="286"/>
      <c r="J26" s="286"/>
      <c r="K26" s="213"/>
      <c r="L26" s="212"/>
      <c r="M26" s="213"/>
      <c r="N26" s="213"/>
      <c r="O26" s="213"/>
      <c r="P26" s="213"/>
    </row>
    <row r="27" spans="1:16" s="68" customFormat="1">
      <c r="A27" s="378">
        <f t="shared" si="0"/>
        <v>14</v>
      </c>
      <c r="B27" s="378" t="s">
        <v>149</v>
      </c>
      <c r="C27" s="642" t="s">
        <v>1692</v>
      </c>
      <c r="D27" s="658" t="s">
        <v>77</v>
      </c>
      <c r="E27" s="664">
        <v>100</v>
      </c>
      <c r="F27" s="212"/>
      <c r="G27" s="212"/>
      <c r="H27" s="286"/>
      <c r="I27" s="286"/>
      <c r="J27" s="286"/>
      <c r="K27" s="213"/>
      <c r="L27" s="212"/>
      <c r="M27" s="213"/>
      <c r="N27" s="213"/>
      <c r="O27" s="213"/>
      <c r="P27" s="213"/>
    </row>
    <row r="28" spans="1:16" s="68" customFormat="1">
      <c r="A28" s="378">
        <f t="shared" si="0"/>
        <v>15</v>
      </c>
      <c r="B28" s="378" t="s">
        <v>149</v>
      </c>
      <c r="C28" s="642" t="s">
        <v>1693</v>
      </c>
      <c r="D28" s="658" t="s">
        <v>77</v>
      </c>
      <c r="E28" s="664">
        <v>50</v>
      </c>
      <c r="F28" s="212"/>
      <c r="G28" s="212"/>
      <c r="H28" s="286"/>
      <c r="I28" s="286"/>
      <c r="J28" s="286"/>
      <c r="K28" s="213"/>
      <c r="L28" s="212"/>
      <c r="M28" s="213"/>
      <c r="N28" s="213"/>
      <c r="O28" s="213"/>
      <c r="P28" s="213"/>
    </row>
    <row r="29" spans="1:16" s="68" customFormat="1">
      <c r="A29" s="378">
        <f t="shared" si="0"/>
        <v>16</v>
      </c>
      <c r="B29" s="378" t="s">
        <v>149</v>
      </c>
      <c r="C29" s="642" t="s">
        <v>107</v>
      </c>
      <c r="D29" s="658" t="s">
        <v>90</v>
      </c>
      <c r="E29" s="582">
        <v>1</v>
      </c>
      <c r="F29" s="212"/>
      <c r="G29" s="212"/>
      <c r="H29" s="286"/>
      <c r="I29" s="286"/>
      <c r="J29" s="286"/>
      <c r="K29" s="213"/>
      <c r="L29" s="212"/>
      <c r="M29" s="213"/>
      <c r="N29" s="213"/>
      <c r="O29" s="213"/>
      <c r="P29" s="213"/>
    </row>
    <row r="30" spans="1:16" s="68" customFormat="1">
      <c r="A30" s="378">
        <f t="shared" si="0"/>
        <v>17</v>
      </c>
      <c r="B30" s="378" t="s">
        <v>149</v>
      </c>
      <c r="C30" s="642" t="s">
        <v>1694</v>
      </c>
      <c r="D30" s="658" t="s">
        <v>90</v>
      </c>
      <c r="E30" s="664">
        <v>1</v>
      </c>
      <c r="F30" s="212"/>
      <c r="G30" s="212"/>
      <c r="H30" s="286"/>
      <c r="I30" s="286"/>
      <c r="J30" s="286"/>
      <c r="K30" s="213"/>
      <c r="L30" s="212"/>
      <c r="M30" s="213"/>
      <c r="N30" s="213"/>
      <c r="O30" s="213"/>
      <c r="P30" s="213"/>
    </row>
    <row r="31" spans="1:16" s="68" customFormat="1">
      <c r="A31" s="378">
        <f t="shared" si="0"/>
        <v>18</v>
      </c>
      <c r="B31" s="378" t="s">
        <v>149</v>
      </c>
      <c r="C31" s="642" t="s">
        <v>1695</v>
      </c>
      <c r="D31" s="658" t="s">
        <v>100</v>
      </c>
      <c r="E31" s="664">
        <v>1</v>
      </c>
      <c r="F31" s="212"/>
      <c r="G31" s="212"/>
      <c r="H31" s="286"/>
      <c r="I31" s="286"/>
      <c r="J31" s="286"/>
      <c r="K31" s="213"/>
      <c r="L31" s="212"/>
      <c r="M31" s="213"/>
      <c r="N31" s="213"/>
      <c r="O31" s="213"/>
      <c r="P31" s="213"/>
    </row>
    <row r="32" spans="1:16" s="68" customFormat="1">
      <c r="A32" s="378">
        <f t="shared" si="0"/>
        <v>19</v>
      </c>
      <c r="B32" s="378" t="s">
        <v>149</v>
      </c>
      <c r="C32" s="642" t="s">
        <v>1470</v>
      </c>
      <c r="D32" s="658" t="s">
        <v>100</v>
      </c>
      <c r="E32" s="664">
        <v>1</v>
      </c>
      <c r="F32" s="212"/>
      <c r="G32" s="212"/>
      <c r="H32" s="286"/>
      <c r="I32" s="286"/>
      <c r="J32" s="286"/>
      <c r="K32" s="213"/>
      <c r="L32" s="212"/>
      <c r="M32" s="213"/>
      <c r="N32" s="213"/>
      <c r="O32" s="213"/>
      <c r="P32" s="213"/>
    </row>
    <row r="33" spans="1:16" s="68" customFormat="1">
      <c r="A33" s="378">
        <f t="shared" si="0"/>
        <v>20</v>
      </c>
      <c r="B33" s="378" t="s">
        <v>149</v>
      </c>
      <c r="C33" s="642" t="s">
        <v>1696</v>
      </c>
      <c r="D33" s="658" t="s">
        <v>100</v>
      </c>
      <c r="E33" s="664">
        <v>1</v>
      </c>
      <c r="F33" s="212"/>
      <c r="G33" s="212"/>
      <c r="H33" s="286"/>
      <c r="I33" s="286"/>
      <c r="J33" s="286"/>
      <c r="K33" s="213"/>
      <c r="L33" s="212"/>
      <c r="M33" s="213"/>
      <c r="N33" s="213"/>
      <c r="O33" s="213"/>
      <c r="P33" s="213"/>
    </row>
    <row r="34" spans="1:16" s="68" customFormat="1">
      <c r="A34" s="378">
        <f t="shared" si="0"/>
        <v>21</v>
      </c>
      <c r="B34" s="378" t="s">
        <v>149</v>
      </c>
      <c r="C34" s="642" t="s">
        <v>1436</v>
      </c>
      <c r="D34" s="658" t="s">
        <v>90</v>
      </c>
      <c r="E34" s="582">
        <v>1</v>
      </c>
      <c r="F34" s="212"/>
      <c r="G34" s="212"/>
      <c r="H34" s="286"/>
      <c r="I34" s="286"/>
      <c r="J34" s="286"/>
      <c r="K34" s="213"/>
      <c r="L34" s="212"/>
      <c r="M34" s="213"/>
      <c r="N34" s="213"/>
      <c r="O34" s="213"/>
      <c r="P34" s="213"/>
    </row>
    <row r="35" spans="1:16" s="68" customFormat="1">
      <c r="A35" s="495">
        <f t="shared" si="0"/>
        <v>22</v>
      </c>
      <c r="B35" s="495" t="s">
        <v>149</v>
      </c>
      <c r="C35" s="725" t="s">
        <v>1564</v>
      </c>
      <c r="D35" s="658" t="s">
        <v>1565</v>
      </c>
      <c r="E35" s="747">
        <v>8</v>
      </c>
      <c r="F35" s="233"/>
      <c r="G35" s="233"/>
      <c r="H35" s="285"/>
      <c r="I35" s="285"/>
      <c r="J35" s="285"/>
      <c r="K35" s="234"/>
      <c r="L35" s="233"/>
      <c r="M35" s="234"/>
      <c r="N35" s="234"/>
      <c r="O35" s="234"/>
      <c r="P35" s="234"/>
    </row>
    <row r="36" spans="1:16" s="68" customFormat="1">
      <c r="A36" s="931" t="s">
        <v>177</v>
      </c>
      <c r="B36" s="931"/>
      <c r="C36" s="931"/>
      <c r="D36" s="931"/>
      <c r="E36" s="931"/>
      <c r="F36" s="931"/>
      <c r="G36" s="931"/>
      <c r="H36" s="931"/>
      <c r="I36" s="931"/>
      <c r="J36" s="931"/>
      <c r="K36" s="931"/>
      <c r="L36" s="292"/>
      <c r="M36" s="292"/>
      <c r="N36" s="292"/>
      <c r="O36" s="292"/>
      <c r="P36" s="292"/>
    </row>
    <row r="37" spans="1:16" s="68" customFormat="1">
      <c r="A37" s="932" t="s">
        <v>36</v>
      </c>
      <c r="B37" s="932"/>
      <c r="C37" s="1"/>
      <c r="D37" s="1"/>
      <c r="E37" s="1"/>
      <c r="F37" s="1"/>
      <c r="G37" s="1"/>
      <c r="H37" s="1"/>
      <c r="I37" s="1"/>
      <c r="J37" s="1"/>
      <c r="K37" s="1"/>
      <c r="L37" s="1"/>
      <c r="M37" s="1"/>
      <c r="N37" s="1"/>
      <c r="O37" s="1"/>
      <c r="P37" s="1"/>
    </row>
    <row r="38" spans="1:16" s="68" customFormat="1">
      <c r="A38" s="886" t="s">
        <v>56</v>
      </c>
      <c r="B38" s="886"/>
      <c r="C38" s="886"/>
      <c r="D38" s="886"/>
      <c r="E38" s="886"/>
      <c r="F38" s="886"/>
      <c r="G38" s="886"/>
      <c r="H38" s="886"/>
      <c r="I38" s="886"/>
      <c r="J38" s="886"/>
      <c r="K38" s="886"/>
      <c r="L38" s="886"/>
      <c r="M38" s="886"/>
      <c r="N38" s="886"/>
      <c r="O38" s="886"/>
      <c r="P38" s="886"/>
    </row>
    <row r="39" spans="1:16" s="68" customFormat="1">
      <c r="A39" s="903"/>
      <c r="B39" s="903"/>
      <c r="C39" s="9"/>
      <c r="D39" s="9"/>
      <c r="E39" s="9"/>
      <c r="F39" s="9"/>
      <c r="G39" s="9"/>
      <c r="H39" s="9"/>
      <c r="I39" s="9"/>
      <c r="J39" s="9"/>
      <c r="K39" s="9"/>
      <c r="L39" s="50">
        <f>Koptame!A29</f>
        <v>0</v>
      </c>
      <c r="M39" s="50"/>
      <c r="N39" s="50"/>
      <c r="O39" s="50"/>
      <c r="P39" s="50"/>
    </row>
    <row r="40" spans="1:16" s="68" customFormat="1">
      <c r="A40" s="902" t="s">
        <v>7</v>
      </c>
      <c r="B40" s="902"/>
      <c r="C40" s="307"/>
      <c r="D40" s="9"/>
      <c r="E40" s="9"/>
      <c r="F40" s="9"/>
      <c r="G40" s="9"/>
      <c r="H40" s="9"/>
      <c r="I40" s="9"/>
      <c r="J40" s="9"/>
      <c r="K40" s="9"/>
      <c r="L40" s="307"/>
      <c r="M40" s="81">
        <f>Koptame!B30</f>
        <v>0</v>
      </c>
      <c r="N40" s="81"/>
      <c r="O40" s="50"/>
      <c r="P40" s="50"/>
    </row>
    <row r="41" spans="1:16" s="68" customFormat="1">
      <c r="A41" s="744"/>
      <c r="B41" s="744"/>
      <c r="C41" s="745"/>
      <c r="D41" s="746"/>
      <c r="E41" s="746"/>
      <c r="F41" s="293"/>
      <c r="G41" s="293"/>
      <c r="H41" s="294"/>
      <c r="I41" s="294"/>
      <c r="J41" s="294"/>
      <c r="K41" s="295"/>
      <c r="L41" s="293"/>
      <c r="M41" s="295"/>
      <c r="N41" s="295"/>
      <c r="O41" s="295"/>
      <c r="P41" s="295"/>
    </row>
    <row r="42" spans="1:16" s="68" customFormat="1">
      <c r="A42" s="744"/>
      <c r="B42" s="744"/>
      <c r="C42" s="745"/>
      <c r="D42" s="746"/>
      <c r="E42" s="746"/>
      <c r="F42" s="293"/>
      <c r="G42" s="293"/>
      <c r="H42" s="294"/>
      <c r="I42" s="294"/>
      <c r="J42" s="294"/>
      <c r="K42" s="295"/>
      <c r="L42" s="293"/>
      <c r="M42" s="295"/>
      <c r="N42" s="295"/>
      <c r="O42" s="295"/>
      <c r="P42" s="295"/>
    </row>
    <row r="43" spans="1:16" s="68" customFormat="1">
      <c r="A43" s="744"/>
      <c r="B43" s="744"/>
      <c r="C43" s="745"/>
      <c r="D43" s="746"/>
      <c r="E43" s="746"/>
      <c r="F43" s="293"/>
      <c r="G43" s="293"/>
      <c r="H43" s="294"/>
      <c r="I43" s="294"/>
      <c r="J43" s="294"/>
      <c r="K43" s="295"/>
      <c r="L43" s="293"/>
      <c r="M43" s="295"/>
      <c r="N43" s="295"/>
      <c r="O43" s="295"/>
      <c r="P43" s="295"/>
    </row>
    <row r="44" spans="1:16" s="68" customFormat="1">
      <c r="A44" s="744"/>
      <c r="B44" s="744"/>
      <c r="C44" s="745"/>
      <c r="D44" s="746"/>
      <c r="E44" s="746"/>
      <c r="F44" s="293"/>
      <c r="G44" s="293"/>
      <c r="H44" s="294"/>
      <c r="I44" s="294"/>
      <c r="J44" s="294"/>
      <c r="K44" s="295"/>
      <c r="L44" s="293"/>
      <c r="M44" s="295"/>
      <c r="N44" s="295"/>
      <c r="O44" s="295"/>
      <c r="P44" s="295"/>
    </row>
    <row r="45" spans="1:16" s="68" customFormat="1">
      <c r="A45" s="744"/>
      <c r="B45" s="744"/>
      <c r="C45" s="745"/>
      <c r="D45" s="746"/>
      <c r="E45" s="746"/>
      <c r="F45" s="293"/>
      <c r="G45" s="293"/>
      <c r="H45" s="294"/>
      <c r="I45" s="294"/>
      <c r="J45" s="294"/>
      <c r="K45" s="295"/>
      <c r="L45" s="293"/>
      <c r="M45" s="295"/>
      <c r="N45" s="295"/>
      <c r="O45" s="295"/>
      <c r="P45" s="295"/>
    </row>
    <row r="46" spans="1:16" s="68" customFormat="1">
      <c r="A46" s="744"/>
      <c r="B46" s="744"/>
      <c r="C46" s="745"/>
      <c r="D46" s="746"/>
      <c r="E46" s="746"/>
      <c r="F46" s="293"/>
      <c r="G46" s="293"/>
      <c r="H46" s="294"/>
      <c r="I46" s="294"/>
      <c r="J46" s="294"/>
      <c r="K46" s="295"/>
      <c r="L46" s="293"/>
      <c r="M46" s="295"/>
      <c r="N46" s="295"/>
      <c r="O46" s="295"/>
      <c r="P46" s="295"/>
    </row>
    <row r="47" spans="1:16" s="68" customFormat="1">
      <c r="A47" s="744"/>
      <c r="B47" s="744"/>
      <c r="C47" s="745"/>
      <c r="D47" s="746"/>
      <c r="E47" s="746"/>
      <c r="F47" s="293"/>
      <c r="G47" s="293"/>
      <c r="H47" s="294"/>
      <c r="I47" s="294"/>
      <c r="J47" s="294"/>
      <c r="K47" s="295"/>
      <c r="L47" s="293"/>
      <c r="M47" s="295"/>
      <c r="N47" s="295"/>
      <c r="O47" s="295"/>
      <c r="P47" s="295"/>
    </row>
    <row r="48" spans="1:16" s="68" customFormat="1">
      <c r="A48" s="744"/>
      <c r="B48" s="744"/>
      <c r="C48" s="745"/>
      <c r="D48" s="746"/>
      <c r="E48" s="746"/>
      <c r="F48" s="293"/>
      <c r="G48" s="293"/>
      <c r="H48" s="294"/>
      <c r="I48" s="294"/>
      <c r="J48" s="294"/>
      <c r="K48" s="295"/>
      <c r="L48" s="293"/>
      <c r="M48" s="295"/>
      <c r="N48" s="295"/>
      <c r="O48" s="295"/>
      <c r="P48" s="295"/>
    </row>
    <row r="49" spans="1:16" s="68" customFormat="1">
      <c r="A49" s="744"/>
      <c r="B49" s="744"/>
      <c r="C49" s="745"/>
      <c r="D49" s="746"/>
      <c r="E49" s="746"/>
      <c r="F49" s="293"/>
      <c r="G49" s="293"/>
      <c r="H49" s="294"/>
      <c r="I49" s="294"/>
      <c r="J49" s="294"/>
      <c r="K49" s="295"/>
      <c r="L49" s="293"/>
      <c r="M49" s="295"/>
      <c r="N49" s="295"/>
      <c r="O49" s="295"/>
      <c r="P49" s="295"/>
    </row>
    <row r="50" spans="1:16" s="68" customFormat="1">
      <c r="A50" s="744"/>
      <c r="B50" s="744"/>
      <c r="C50" s="745"/>
      <c r="D50" s="746"/>
      <c r="E50" s="746"/>
      <c r="F50" s="293"/>
      <c r="G50" s="293"/>
      <c r="H50" s="294"/>
      <c r="I50" s="294"/>
      <c r="J50" s="294"/>
      <c r="K50" s="295"/>
      <c r="L50" s="293"/>
      <c r="M50" s="295"/>
      <c r="N50" s="295"/>
      <c r="O50" s="295"/>
      <c r="P50" s="295"/>
    </row>
    <row r="51" spans="1:16" s="68" customFormat="1">
      <c r="A51" s="744"/>
      <c r="B51" s="744"/>
      <c r="C51" s="745"/>
      <c r="D51" s="746"/>
      <c r="E51" s="746"/>
      <c r="F51" s="293"/>
      <c r="G51" s="293"/>
      <c r="H51" s="294"/>
      <c r="I51" s="294"/>
      <c r="J51" s="294"/>
      <c r="K51" s="295"/>
      <c r="L51" s="293"/>
      <c r="M51" s="295"/>
      <c r="N51" s="295"/>
      <c r="O51" s="295"/>
      <c r="P51" s="295"/>
    </row>
  </sheetData>
  <mergeCells count="24">
    <mergeCell ref="A36:K36"/>
    <mergeCell ref="A37:B37"/>
    <mergeCell ref="A38:P38"/>
    <mergeCell ref="A39:B39"/>
    <mergeCell ref="A40:B40"/>
    <mergeCell ref="A1:P1"/>
    <mergeCell ref="A3:B3"/>
    <mergeCell ref="C3:P3"/>
    <mergeCell ref="A4:B4"/>
    <mergeCell ref="C4:P4"/>
    <mergeCell ref="A2:P2"/>
    <mergeCell ref="A5:B5"/>
    <mergeCell ref="C5:P5"/>
    <mergeCell ref="A6:B6"/>
    <mergeCell ref="C6:P6"/>
    <mergeCell ref="A7:B7"/>
    <mergeCell ref="C7:P7"/>
    <mergeCell ref="F10:K10"/>
    <mergeCell ref="L10:P10"/>
    <mergeCell ref="A10:A11"/>
    <mergeCell ref="B10:B11"/>
    <mergeCell ref="C10:C11"/>
    <mergeCell ref="D10:D11"/>
    <mergeCell ref="E10:E11"/>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sheetPr>
  <dimension ref="A1:P33"/>
  <sheetViews>
    <sheetView showZeros="0" zoomScale="75" zoomScaleNormal="75" zoomScaleSheetLayoutView="90" workbookViewId="0">
      <selection activeCell="A2" sqref="A2:I2"/>
    </sheetView>
  </sheetViews>
  <sheetFormatPr defaultColWidth="9.140625" defaultRowHeight="12.75"/>
  <cols>
    <col min="1" max="1" width="10.28515625" style="34" customWidth="1"/>
    <col min="2" max="2" width="12.7109375" style="34" customWidth="1"/>
    <col min="3" max="3" width="32.7109375" style="34" customWidth="1"/>
    <col min="4" max="4" width="10" style="34" customWidth="1"/>
    <col min="5" max="5" width="13.28515625" style="34" customWidth="1"/>
    <col min="6" max="6" width="13.7109375" style="34" customWidth="1"/>
    <col min="7" max="7" width="17.5703125" style="34" customWidth="1"/>
    <col min="8" max="8" width="12.85546875" style="34" customWidth="1"/>
    <col min="9" max="9" width="16" style="34" customWidth="1"/>
    <col min="10" max="16384" width="9.140625" style="34"/>
  </cols>
  <sheetData>
    <row r="1" spans="1:16" ht="18.75">
      <c r="A1" s="89"/>
    </row>
    <row r="2" spans="1:16" ht="18" customHeight="1">
      <c r="A2" s="861" t="s">
        <v>101</v>
      </c>
      <c r="B2" s="861"/>
      <c r="C2" s="861"/>
      <c r="D2" s="861"/>
      <c r="E2" s="861"/>
      <c r="F2" s="861"/>
      <c r="G2" s="861"/>
      <c r="H2" s="861"/>
      <c r="I2" s="861"/>
    </row>
    <row r="3" spans="1:16" ht="18.75">
      <c r="C3" s="35"/>
      <c r="D3" s="36"/>
      <c r="F3" s="37"/>
      <c r="G3" s="37"/>
      <c r="H3" s="37"/>
      <c r="I3" s="37"/>
    </row>
    <row r="4" spans="1:16">
      <c r="A4" s="38"/>
    </row>
    <row r="5" spans="1:16" ht="18.75">
      <c r="A5" s="911" t="str">
        <f>Koptame!B21</f>
        <v>Labiekārtošanas darbi</v>
      </c>
      <c r="B5" s="912"/>
      <c r="C5" s="912"/>
      <c r="D5" s="912"/>
      <c r="E5" s="912"/>
      <c r="F5" s="912"/>
      <c r="G5" s="912"/>
      <c r="H5" s="912"/>
      <c r="I5" s="913"/>
    </row>
    <row r="6" spans="1:16">
      <c r="A6" s="38"/>
    </row>
    <row r="7" spans="1:16" ht="15.75" customHeight="1">
      <c r="A7" s="868" t="s">
        <v>10</v>
      </c>
      <c r="B7" s="868"/>
      <c r="C7" s="859" t="s">
        <v>117</v>
      </c>
      <c r="D7" s="859"/>
      <c r="E7" s="859"/>
      <c r="F7" s="859"/>
      <c r="G7" s="859"/>
      <c r="H7" s="859"/>
      <c r="I7" s="859"/>
      <c r="J7" s="859"/>
      <c r="K7" s="859"/>
      <c r="L7" s="859"/>
      <c r="M7" s="859"/>
      <c r="N7" s="859"/>
      <c r="O7" s="859"/>
      <c r="P7" s="859"/>
    </row>
    <row r="8" spans="1:16" ht="15.75" customHeight="1">
      <c r="A8" s="850" t="s">
        <v>11</v>
      </c>
      <c r="B8" s="850"/>
      <c r="C8" s="859" t="s">
        <v>118</v>
      </c>
      <c r="D8" s="859"/>
      <c r="E8" s="859"/>
      <c r="F8" s="859"/>
      <c r="G8" s="859"/>
      <c r="H8" s="859"/>
      <c r="I8" s="859"/>
      <c r="J8" s="859"/>
      <c r="K8" s="859"/>
      <c r="L8" s="859"/>
      <c r="M8" s="859"/>
      <c r="N8" s="859"/>
      <c r="O8" s="859"/>
      <c r="P8" s="859"/>
    </row>
    <row r="9" spans="1:16" ht="15.75" customHeight="1">
      <c r="A9" s="850" t="s">
        <v>12</v>
      </c>
      <c r="B9" s="850"/>
      <c r="C9" s="859" t="s">
        <v>50</v>
      </c>
      <c r="D9" s="859"/>
      <c r="E9" s="859"/>
      <c r="F9" s="859"/>
      <c r="G9" s="859"/>
      <c r="H9" s="859"/>
      <c r="I9" s="859"/>
      <c r="J9" s="859"/>
      <c r="K9" s="859"/>
      <c r="L9" s="859"/>
      <c r="M9" s="859"/>
      <c r="N9" s="859"/>
      <c r="O9" s="859"/>
      <c r="P9" s="859"/>
    </row>
    <row r="10" spans="1:16" ht="15.75" customHeight="1">
      <c r="A10" s="850" t="s">
        <v>30</v>
      </c>
      <c r="B10" s="850"/>
      <c r="C10" s="52">
        <f>Koptame!B16</f>
        <v>0</v>
      </c>
      <c r="D10" s="53"/>
      <c r="E10" s="39"/>
      <c r="F10" s="39"/>
      <c r="G10" s="39"/>
      <c r="H10" s="39"/>
      <c r="I10" s="39"/>
    </row>
    <row r="11" spans="1:16" ht="15" customHeight="1">
      <c r="A11" s="850" t="s">
        <v>54</v>
      </c>
      <c r="B11" s="850"/>
      <c r="C11" s="53"/>
      <c r="D11" s="53"/>
      <c r="E11" s="39"/>
      <c r="F11" s="39"/>
      <c r="G11" s="39"/>
      <c r="H11" s="39"/>
      <c r="I11" s="39"/>
    </row>
    <row r="12" spans="1:16" ht="18" customHeight="1">
      <c r="A12" s="53"/>
      <c r="B12" s="39"/>
      <c r="C12" s="39"/>
      <c r="D12" s="39"/>
      <c r="E12" s="39"/>
      <c r="F12" s="862" t="s">
        <v>43</v>
      </c>
      <c r="G12" s="863"/>
      <c r="H12" s="39"/>
      <c r="I12" s="39"/>
    </row>
    <row r="13" spans="1:16" ht="18.75" customHeight="1">
      <c r="A13" s="53"/>
      <c r="B13" s="39"/>
      <c r="C13" s="39"/>
      <c r="D13" s="39"/>
      <c r="E13" s="39"/>
      <c r="F13" s="862" t="s">
        <v>13</v>
      </c>
      <c r="G13" s="863"/>
      <c r="H13" s="39"/>
      <c r="I13" s="39"/>
    </row>
    <row r="14" spans="1:16" ht="15.75">
      <c r="A14" s="90"/>
    </row>
    <row r="15" spans="1:16" ht="51" customHeight="1">
      <c r="A15" s="860" t="s">
        <v>14</v>
      </c>
      <c r="B15" s="860" t="s">
        <v>15</v>
      </c>
      <c r="C15" s="869" t="s">
        <v>16</v>
      </c>
      <c r="D15" s="870"/>
      <c r="E15" s="860" t="s">
        <v>44</v>
      </c>
      <c r="F15" s="860" t="s">
        <v>17</v>
      </c>
      <c r="G15" s="860"/>
      <c r="H15" s="860"/>
      <c r="I15" s="860" t="s">
        <v>18</v>
      </c>
    </row>
    <row r="16" spans="1:16" ht="40.5" customHeight="1">
      <c r="A16" s="860"/>
      <c r="B16" s="860"/>
      <c r="C16" s="871"/>
      <c r="D16" s="872"/>
      <c r="E16" s="860"/>
      <c r="F16" s="304" t="s">
        <v>45</v>
      </c>
      <c r="G16" s="304" t="s">
        <v>46</v>
      </c>
      <c r="H16" s="304" t="s">
        <v>47</v>
      </c>
      <c r="I16" s="860"/>
    </row>
    <row r="17" spans="1:9" s="95" customFormat="1">
      <c r="A17" s="748">
        <v>1</v>
      </c>
      <c r="B17" s="749" t="s">
        <v>1697</v>
      </c>
      <c r="C17" s="941" t="s">
        <v>121</v>
      </c>
      <c r="D17" s="941"/>
      <c r="E17" s="100"/>
      <c r="F17" s="100"/>
      <c r="G17" s="100"/>
      <c r="H17" s="100"/>
      <c r="I17" s="97"/>
    </row>
    <row r="18" spans="1:9" ht="15.75" customHeight="1">
      <c r="A18" s="851" t="s">
        <v>19</v>
      </c>
      <c r="B18" s="852"/>
      <c r="C18" s="853"/>
      <c r="D18" s="304"/>
      <c r="E18" s="124"/>
      <c r="F18" s="124"/>
      <c r="G18" s="124"/>
      <c r="H18" s="124"/>
      <c r="I18" s="124"/>
    </row>
    <row r="19" spans="1:9" ht="15.75" customHeight="1">
      <c r="A19" s="848" t="s">
        <v>31</v>
      </c>
      <c r="B19" s="848"/>
      <c r="C19" s="848"/>
      <c r="D19" s="125" t="s">
        <v>114</v>
      </c>
      <c r="E19" s="126"/>
      <c r="F19" s="126"/>
      <c r="G19" s="126"/>
      <c r="H19" s="126"/>
      <c r="I19" s="124"/>
    </row>
    <row r="20" spans="1:9" ht="15.75" customHeight="1">
      <c r="A20" s="854" t="s">
        <v>35</v>
      </c>
      <c r="B20" s="855"/>
      <c r="C20" s="856"/>
      <c r="D20" s="125" t="s">
        <v>114</v>
      </c>
      <c r="E20" s="126"/>
      <c r="F20" s="126"/>
      <c r="G20" s="126"/>
      <c r="H20" s="126"/>
      <c r="I20" s="124"/>
    </row>
    <row r="21" spans="1:9" ht="15.75" customHeight="1">
      <c r="A21" s="848" t="s">
        <v>29</v>
      </c>
      <c r="B21" s="848"/>
      <c r="C21" s="848"/>
      <c r="D21" s="125" t="s">
        <v>114</v>
      </c>
      <c r="E21" s="126"/>
      <c r="F21" s="126"/>
      <c r="G21" s="126"/>
      <c r="H21" s="126"/>
      <c r="I21" s="124"/>
    </row>
    <row r="22" spans="1:9" ht="15.75" customHeight="1">
      <c r="A22" s="851" t="s">
        <v>20</v>
      </c>
      <c r="B22" s="852"/>
      <c r="C22" s="853"/>
      <c r="D22" s="132"/>
      <c r="E22" s="124"/>
      <c r="F22" s="124"/>
      <c r="G22" s="124"/>
      <c r="H22" s="124"/>
      <c r="I22" s="124"/>
    </row>
    <row r="23" spans="1:9" ht="18.75">
      <c r="A23" s="41"/>
    </row>
    <row r="24" spans="1:9" ht="18.75">
      <c r="A24" s="41"/>
    </row>
    <row r="25" spans="1:9" ht="15">
      <c r="A25" s="303" t="s">
        <v>7</v>
      </c>
      <c r="B25" s="3"/>
      <c r="C25" s="4"/>
      <c r="F25" s="39"/>
    </row>
    <row r="26" spans="1:9" ht="15">
      <c r="A26" s="39"/>
      <c r="B26" s="4"/>
      <c r="C26" s="307">
        <f>Koptame!B32</f>
        <v>0</v>
      </c>
      <c r="D26" s="42"/>
      <c r="E26" s="42"/>
      <c r="F26" s="39"/>
    </row>
    <row r="27" spans="1:9" ht="15">
      <c r="A27" s="43"/>
      <c r="B27" s="3"/>
      <c r="C27" s="305">
        <f>Koptame!B33</f>
        <v>0</v>
      </c>
      <c r="D27" s="39"/>
      <c r="E27" s="39"/>
      <c r="F27" s="39"/>
    </row>
    <row r="28" spans="1:9" ht="15">
      <c r="B28" s="3"/>
      <c r="C28" s="305"/>
    </row>
    <row r="29" spans="1:9" ht="15">
      <c r="B29" s="3"/>
      <c r="C29" s="305"/>
    </row>
    <row r="30" spans="1:9" ht="11.25" customHeight="1">
      <c r="B30" s="7"/>
      <c r="C30" s="1"/>
    </row>
    <row r="31" spans="1:9" ht="15" hidden="1">
      <c r="B31" s="3">
        <f>Koptame!A37</f>
        <v>0</v>
      </c>
      <c r="C31" s="2">
        <f>Koptame!B37</f>
        <v>0</v>
      </c>
    </row>
    <row r="32" spans="1:9" ht="15" hidden="1">
      <c r="B32" s="4">
        <f>Koptame!A38</f>
        <v>0</v>
      </c>
      <c r="C32" s="307">
        <f>Koptame!B38</f>
        <v>0</v>
      </c>
    </row>
    <row r="33" spans="2:3" ht="15" hidden="1">
      <c r="B33" s="3">
        <f>Koptame!A39</f>
        <v>0</v>
      </c>
      <c r="C33" s="305">
        <f>Koptame!B39</f>
        <v>0</v>
      </c>
    </row>
  </sheetData>
  <mergeCells count="24">
    <mergeCell ref="A2:I2"/>
    <mergeCell ref="A5:I5"/>
    <mergeCell ref="A7:B7"/>
    <mergeCell ref="A8:B8"/>
    <mergeCell ref="C7:P7"/>
    <mergeCell ref="C8:P8"/>
    <mergeCell ref="I15:I16"/>
    <mergeCell ref="A9:B9"/>
    <mergeCell ref="A10:B10"/>
    <mergeCell ref="A11:B11"/>
    <mergeCell ref="F12:G12"/>
    <mergeCell ref="F13:G13"/>
    <mergeCell ref="A15:A16"/>
    <mergeCell ref="B15:B16"/>
    <mergeCell ref="C15:D16"/>
    <mergeCell ref="E15:E16"/>
    <mergeCell ref="F15:H15"/>
    <mergeCell ref="C9:P9"/>
    <mergeCell ref="A21:C21"/>
    <mergeCell ref="A22:C22"/>
    <mergeCell ref="A18:C18"/>
    <mergeCell ref="C17:D17"/>
    <mergeCell ref="A19:C19"/>
    <mergeCell ref="A20:C20"/>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Q57"/>
  <sheetViews>
    <sheetView showZeros="0" zoomScale="75" zoomScaleNormal="75" zoomScaleSheetLayoutView="80" workbookViewId="0">
      <selection activeCell="A2" sqref="A2:P2"/>
    </sheetView>
  </sheetViews>
  <sheetFormatPr defaultColWidth="9.140625" defaultRowHeight="15"/>
  <cols>
    <col min="1" max="1" width="8.85546875" style="60" customWidth="1"/>
    <col min="2" max="2" width="11.7109375" style="60" customWidth="1"/>
    <col min="3" max="3" width="45.7109375" style="60" customWidth="1"/>
    <col min="4" max="4" width="8.7109375" style="60" customWidth="1"/>
    <col min="5" max="5" width="8.7109375" style="102" customWidth="1"/>
    <col min="6" max="8" width="8.7109375" style="60" customWidth="1"/>
    <col min="9" max="9" width="8.7109375" style="68" customWidth="1"/>
    <col min="10" max="11" width="8.7109375" style="60" customWidth="1"/>
    <col min="12" max="16" width="12.7109375" style="60" customWidth="1"/>
    <col min="17" max="16384" width="9.140625" style="60"/>
  </cols>
  <sheetData>
    <row r="1" spans="1:17" s="59" customFormat="1" ht="15.75">
      <c r="A1" s="909" t="s">
        <v>108</v>
      </c>
      <c r="B1" s="909"/>
      <c r="C1" s="909"/>
      <c r="D1" s="909"/>
      <c r="E1" s="909"/>
      <c r="F1" s="909"/>
      <c r="G1" s="909"/>
      <c r="H1" s="909"/>
      <c r="I1" s="909"/>
      <c r="J1" s="909"/>
      <c r="K1" s="909"/>
      <c r="L1" s="909"/>
      <c r="M1" s="909"/>
      <c r="N1" s="909"/>
      <c r="O1" s="909"/>
      <c r="P1" s="909"/>
    </row>
    <row r="2" spans="1:17" s="59" customFormat="1" ht="15.75">
      <c r="A2" s="899" t="s">
        <v>121</v>
      </c>
      <c r="B2" s="899"/>
      <c r="C2" s="899"/>
      <c r="D2" s="899"/>
      <c r="E2" s="899"/>
      <c r="F2" s="899"/>
      <c r="G2" s="899"/>
      <c r="H2" s="899"/>
      <c r="I2" s="899"/>
      <c r="J2" s="899"/>
      <c r="K2" s="899"/>
      <c r="L2" s="899"/>
      <c r="M2" s="899"/>
      <c r="N2" s="899"/>
      <c r="O2" s="899"/>
      <c r="P2" s="899"/>
    </row>
    <row r="3" spans="1:17" s="59" customFormat="1" ht="15.6" customHeight="1">
      <c r="A3" s="876" t="s">
        <v>10</v>
      </c>
      <c r="B3" s="876"/>
      <c r="C3" s="859" t="s">
        <v>117</v>
      </c>
      <c r="D3" s="859"/>
      <c r="E3" s="859"/>
      <c r="F3" s="859"/>
      <c r="G3" s="859"/>
      <c r="H3" s="859"/>
      <c r="I3" s="859"/>
      <c r="J3" s="859"/>
      <c r="K3" s="859"/>
      <c r="L3" s="859"/>
      <c r="M3" s="859"/>
      <c r="N3" s="859"/>
      <c r="O3" s="859"/>
      <c r="P3" s="859"/>
    </row>
    <row r="4" spans="1:17" s="59" customFormat="1" ht="15.6" customHeight="1">
      <c r="A4" s="876" t="s">
        <v>11</v>
      </c>
      <c r="B4" s="876"/>
      <c r="C4" s="859" t="s">
        <v>118</v>
      </c>
      <c r="D4" s="859"/>
      <c r="E4" s="859"/>
      <c r="F4" s="859"/>
      <c r="G4" s="859"/>
      <c r="H4" s="859"/>
      <c r="I4" s="859"/>
      <c r="J4" s="859"/>
      <c r="K4" s="859"/>
      <c r="L4" s="859"/>
      <c r="M4" s="859"/>
      <c r="N4" s="859"/>
      <c r="O4" s="859"/>
      <c r="P4" s="859"/>
    </row>
    <row r="5" spans="1:17" s="59" customFormat="1" ht="15.75">
      <c r="A5" s="876" t="s">
        <v>12</v>
      </c>
      <c r="B5" s="876"/>
      <c r="C5" s="859" t="s">
        <v>50</v>
      </c>
      <c r="D5" s="859"/>
      <c r="E5" s="859"/>
      <c r="F5" s="859"/>
      <c r="G5" s="859"/>
      <c r="H5" s="859"/>
      <c r="I5" s="859"/>
      <c r="J5" s="859"/>
      <c r="K5" s="859"/>
      <c r="L5" s="859"/>
      <c r="M5" s="859"/>
      <c r="N5" s="859"/>
      <c r="O5" s="859"/>
      <c r="P5" s="859"/>
    </row>
    <row r="6" spans="1:17" s="59" customFormat="1" ht="15.75">
      <c r="A6" s="876" t="s">
        <v>30</v>
      </c>
      <c r="B6" s="876"/>
      <c r="C6" s="874"/>
      <c r="D6" s="874"/>
      <c r="E6" s="874"/>
      <c r="F6" s="874"/>
      <c r="G6" s="874"/>
      <c r="H6" s="874"/>
      <c r="I6" s="874"/>
      <c r="J6" s="874"/>
      <c r="K6" s="874"/>
      <c r="L6" s="874"/>
      <c r="M6" s="874"/>
      <c r="N6" s="874"/>
      <c r="O6" s="874"/>
      <c r="P6" s="874"/>
    </row>
    <row r="7" spans="1:17" s="59" customFormat="1" ht="15.75">
      <c r="A7" s="876" t="s">
        <v>54</v>
      </c>
      <c r="B7" s="876"/>
      <c r="C7" s="873"/>
      <c r="D7" s="873"/>
      <c r="E7" s="873"/>
      <c r="F7" s="873"/>
      <c r="G7" s="873"/>
      <c r="H7" s="873"/>
      <c r="I7" s="873"/>
      <c r="J7" s="873"/>
      <c r="K7" s="873"/>
      <c r="L7" s="873"/>
      <c r="M7" s="873"/>
      <c r="N7" s="873"/>
      <c r="O7" s="873"/>
      <c r="P7" s="873"/>
    </row>
    <row r="8" spans="1:17" s="59" customFormat="1" ht="15.75">
      <c r="A8" s="73"/>
      <c r="B8" s="73"/>
      <c r="C8" s="73"/>
      <c r="D8" s="73"/>
      <c r="E8" s="104"/>
      <c r="F8" s="73"/>
      <c r="G8" s="73"/>
      <c r="H8" s="73"/>
      <c r="I8" s="73"/>
      <c r="J8" s="73"/>
      <c r="K8" s="73"/>
      <c r="L8" s="66"/>
      <c r="M8" s="66"/>
      <c r="N8" s="74"/>
      <c r="O8" s="63" t="s">
        <v>52</v>
      </c>
      <c r="P8" s="75">
        <f>P53</f>
        <v>0</v>
      </c>
    </row>
    <row r="9" spans="1:17" ht="15.75">
      <c r="A9" s="65"/>
      <c r="B9" s="65"/>
      <c r="C9" s="66"/>
      <c r="D9" s="66"/>
      <c r="E9" s="110"/>
      <c r="F9" s="66"/>
      <c r="G9" s="66"/>
      <c r="H9" s="66"/>
      <c r="I9" s="66"/>
      <c r="J9" s="66"/>
      <c r="K9" s="66"/>
      <c r="L9" s="66"/>
      <c r="M9" s="66"/>
      <c r="N9" s="66"/>
      <c r="O9" s="66"/>
      <c r="P9" s="66"/>
    </row>
    <row r="10" spans="1:17"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7"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7">
      <c r="A12" s="115">
        <v>1</v>
      </c>
      <c r="B12" s="115">
        <v>2</v>
      </c>
      <c r="C12" s="115">
        <v>3</v>
      </c>
      <c r="D12" s="115">
        <v>4</v>
      </c>
      <c r="E12" s="169">
        <v>5</v>
      </c>
      <c r="F12" s="115">
        <v>6</v>
      </c>
      <c r="G12" s="115">
        <v>7</v>
      </c>
      <c r="H12" s="115">
        <v>8</v>
      </c>
      <c r="I12" s="115">
        <v>9</v>
      </c>
      <c r="J12" s="115">
        <v>10</v>
      </c>
      <c r="K12" s="115">
        <v>11</v>
      </c>
      <c r="L12" s="115">
        <v>12</v>
      </c>
      <c r="M12" s="115">
        <v>13</v>
      </c>
      <c r="N12" s="115">
        <v>14</v>
      </c>
      <c r="O12" s="115">
        <v>15</v>
      </c>
      <c r="P12" s="115">
        <v>16</v>
      </c>
    </row>
    <row r="13" spans="1:17" s="68" customFormat="1">
      <c r="A13" s="370"/>
      <c r="B13" s="370"/>
      <c r="C13" s="750" t="s">
        <v>121</v>
      </c>
      <c r="D13" s="751"/>
      <c r="E13" s="762"/>
      <c r="F13" s="221"/>
      <c r="G13" s="222"/>
      <c r="H13" s="135"/>
      <c r="I13" s="135"/>
      <c r="J13" s="223"/>
      <c r="K13" s="135"/>
      <c r="L13" s="135"/>
      <c r="M13" s="135"/>
      <c r="N13" s="135"/>
      <c r="O13" s="135"/>
      <c r="P13" s="135"/>
      <c r="Q13" s="92"/>
    </row>
    <row r="14" spans="1:17" s="68" customFormat="1">
      <c r="A14" s="370"/>
      <c r="B14" s="370"/>
      <c r="C14" s="509" t="s">
        <v>1698</v>
      </c>
      <c r="D14" s="370"/>
      <c r="E14" s="504"/>
      <c r="F14" s="221"/>
      <c r="G14" s="222"/>
      <c r="H14" s="135"/>
      <c r="I14" s="135"/>
      <c r="J14" s="223"/>
      <c r="K14" s="135"/>
      <c r="L14" s="135"/>
      <c r="M14" s="135"/>
      <c r="N14" s="135"/>
      <c r="O14" s="135"/>
      <c r="P14" s="135"/>
      <c r="Q14" s="92"/>
    </row>
    <row r="15" spans="1:17" s="68" customFormat="1" ht="36">
      <c r="A15" s="373">
        <f>A14+1</f>
        <v>1</v>
      </c>
      <c r="B15" s="373" t="s">
        <v>149</v>
      </c>
      <c r="C15" s="752" t="s">
        <v>1699</v>
      </c>
      <c r="D15" s="373" t="s">
        <v>90</v>
      </c>
      <c r="E15" s="763">
        <v>1</v>
      </c>
      <c r="F15" s="173"/>
      <c r="G15" s="174"/>
      <c r="H15" s="153"/>
      <c r="I15" s="153"/>
      <c r="J15" s="175"/>
      <c r="K15" s="153"/>
      <c r="L15" s="153"/>
      <c r="M15" s="153"/>
      <c r="N15" s="153"/>
      <c r="O15" s="153"/>
      <c r="P15" s="153"/>
      <c r="Q15" s="92"/>
    </row>
    <row r="16" spans="1:17" s="68" customFormat="1">
      <c r="A16" s="370"/>
      <c r="B16" s="370"/>
      <c r="C16" s="753" t="s">
        <v>1700</v>
      </c>
      <c r="D16" s="754"/>
      <c r="E16" s="470"/>
      <c r="F16" s="221"/>
      <c r="G16" s="222"/>
      <c r="H16" s="135"/>
      <c r="I16" s="135"/>
      <c r="J16" s="223"/>
      <c r="K16" s="135"/>
      <c r="L16" s="135"/>
      <c r="M16" s="135"/>
      <c r="N16" s="135"/>
      <c r="O16" s="135"/>
      <c r="P16" s="135"/>
      <c r="Q16" s="92"/>
    </row>
    <row r="17" spans="1:17" s="68" customFormat="1">
      <c r="A17" s="385">
        <f>A15+1</f>
        <v>2</v>
      </c>
      <c r="B17" s="385" t="s">
        <v>149</v>
      </c>
      <c r="C17" s="386" t="s">
        <v>1701</v>
      </c>
      <c r="D17" s="426" t="s">
        <v>82</v>
      </c>
      <c r="E17" s="433">
        <f>1566</f>
        <v>1566</v>
      </c>
      <c r="F17" s="171"/>
      <c r="G17" s="161"/>
      <c r="H17" s="146"/>
      <c r="I17" s="146"/>
      <c r="J17" s="163"/>
      <c r="K17" s="146"/>
      <c r="L17" s="146"/>
      <c r="M17" s="146"/>
      <c r="N17" s="146"/>
      <c r="O17" s="146"/>
      <c r="P17" s="146"/>
      <c r="Q17" s="92"/>
    </row>
    <row r="18" spans="1:17" s="68" customFormat="1">
      <c r="A18" s="348">
        <f>A17+1</f>
        <v>3</v>
      </c>
      <c r="B18" s="348" t="s">
        <v>149</v>
      </c>
      <c r="C18" s="642" t="s">
        <v>1702</v>
      </c>
      <c r="D18" s="464" t="s">
        <v>1781</v>
      </c>
      <c r="E18" s="354">
        <v>690</v>
      </c>
      <c r="F18" s="170"/>
      <c r="G18" s="143"/>
      <c r="H18" s="145"/>
      <c r="I18" s="145"/>
      <c r="J18" s="156"/>
      <c r="K18" s="145"/>
      <c r="L18" s="145"/>
      <c r="M18" s="145"/>
      <c r="N18" s="145"/>
      <c r="O18" s="145"/>
      <c r="P18" s="145"/>
      <c r="Q18" s="92"/>
    </row>
    <row r="19" spans="1:17" s="68" customFormat="1">
      <c r="A19" s="348">
        <f>A18+1</f>
        <v>4</v>
      </c>
      <c r="B19" s="348" t="s">
        <v>149</v>
      </c>
      <c r="C19" s="642" t="s">
        <v>1703</v>
      </c>
      <c r="D19" s="464" t="s">
        <v>1781</v>
      </c>
      <c r="E19" s="354">
        <v>876</v>
      </c>
      <c r="F19" s="170"/>
      <c r="G19" s="143"/>
      <c r="H19" s="145"/>
      <c r="I19" s="145"/>
      <c r="J19" s="156"/>
      <c r="K19" s="145"/>
      <c r="L19" s="145"/>
      <c r="M19" s="145"/>
      <c r="N19" s="145"/>
      <c r="O19" s="145"/>
      <c r="P19" s="145"/>
      <c r="Q19" s="92"/>
    </row>
    <row r="20" spans="1:17" s="68" customFormat="1">
      <c r="A20" s="348">
        <f>A19+1</f>
        <v>5</v>
      </c>
      <c r="B20" s="348" t="s">
        <v>149</v>
      </c>
      <c r="C20" s="377" t="s">
        <v>1704</v>
      </c>
      <c r="D20" s="424" t="s">
        <v>84</v>
      </c>
      <c r="E20" s="354">
        <f>470</f>
        <v>470</v>
      </c>
      <c r="F20" s="170"/>
      <c r="G20" s="143"/>
      <c r="H20" s="145"/>
      <c r="I20" s="145"/>
      <c r="J20" s="156"/>
      <c r="K20" s="145"/>
      <c r="L20" s="145"/>
      <c r="M20" s="145"/>
      <c r="N20" s="145"/>
      <c r="O20" s="145"/>
      <c r="P20" s="145"/>
      <c r="Q20" s="92"/>
    </row>
    <row r="21" spans="1:17" s="68" customFormat="1" ht="24">
      <c r="A21" s="380">
        <f>A20+1</f>
        <v>6</v>
      </c>
      <c r="B21" s="380" t="s">
        <v>149</v>
      </c>
      <c r="C21" s="381" t="s">
        <v>1705</v>
      </c>
      <c r="D21" s="425" t="s">
        <v>84</v>
      </c>
      <c r="E21" s="441">
        <f>24</f>
        <v>24</v>
      </c>
      <c r="F21" s="172"/>
      <c r="G21" s="159"/>
      <c r="H21" s="150"/>
      <c r="I21" s="150"/>
      <c r="J21" s="160"/>
      <c r="K21" s="150"/>
      <c r="L21" s="150"/>
      <c r="M21" s="150"/>
      <c r="N21" s="150"/>
      <c r="O21" s="150"/>
      <c r="P21" s="150"/>
      <c r="Q21" s="92"/>
    </row>
    <row r="22" spans="1:17" s="68" customFormat="1">
      <c r="A22" s="370"/>
      <c r="B22" s="370"/>
      <c r="C22" s="755" t="s">
        <v>1706</v>
      </c>
      <c r="D22" s="756" t="s">
        <v>82</v>
      </c>
      <c r="E22" s="417">
        <f>861</f>
        <v>861</v>
      </c>
      <c r="F22" s="221"/>
      <c r="G22" s="222"/>
      <c r="H22" s="135"/>
      <c r="I22" s="135"/>
      <c r="J22" s="223"/>
      <c r="K22" s="135"/>
      <c r="L22" s="135"/>
      <c r="M22" s="135"/>
      <c r="N22" s="135"/>
      <c r="O22" s="135"/>
      <c r="P22" s="135"/>
      <c r="Q22" s="92"/>
    </row>
    <row r="23" spans="1:17" s="68" customFormat="1">
      <c r="A23" s="385">
        <f>A21+1</f>
        <v>7</v>
      </c>
      <c r="B23" s="385" t="s">
        <v>149</v>
      </c>
      <c r="C23" s="757" t="s">
        <v>110</v>
      </c>
      <c r="D23" s="426" t="str">
        <f>D22</f>
        <v>m2</v>
      </c>
      <c r="E23" s="433">
        <f>E22</f>
        <v>861</v>
      </c>
      <c r="F23" s="171"/>
      <c r="G23" s="161"/>
      <c r="H23" s="146"/>
      <c r="I23" s="146"/>
      <c r="J23" s="163"/>
      <c r="K23" s="146"/>
      <c r="L23" s="146"/>
      <c r="M23" s="146"/>
      <c r="N23" s="146"/>
      <c r="O23" s="146"/>
      <c r="P23" s="146"/>
      <c r="Q23" s="92"/>
    </row>
    <row r="24" spans="1:17" s="68" customFormat="1">
      <c r="A24" s="348">
        <f>A23+1</f>
        <v>8</v>
      </c>
      <c r="B24" s="348" t="s">
        <v>149</v>
      </c>
      <c r="C24" s="758" t="s">
        <v>1707</v>
      </c>
      <c r="D24" s="424" t="s">
        <v>84</v>
      </c>
      <c r="E24" s="354">
        <f>E22*0.3</f>
        <v>258.3</v>
      </c>
      <c r="F24" s="170"/>
      <c r="G24" s="143"/>
      <c r="H24" s="145"/>
      <c r="I24" s="145"/>
      <c r="J24" s="156"/>
      <c r="K24" s="145"/>
      <c r="L24" s="145"/>
      <c r="M24" s="145"/>
      <c r="N24" s="145"/>
      <c r="O24" s="145"/>
      <c r="P24" s="145"/>
      <c r="Q24" s="92"/>
    </row>
    <row r="25" spans="1:17" s="68" customFormat="1">
      <c r="A25" s="348">
        <f>A24+1</f>
        <v>9</v>
      </c>
      <c r="B25" s="348" t="s">
        <v>149</v>
      </c>
      <c r="C25" s="490" t="s">
        <v>1708</v>
      </c>
      <c r="D25" s="348" t="s">
        <v>82</v>
      </c>
      <c r="E25" s="491">
        <f>E22</f>
        <v>861</v>
      </c>
      <c r="F25" s="170"/>
      <c r="G25" s="143"/>
      <c r="H25" s="145"/>
      <c r="I25" s="145"/>
      <c r="J25" s="156"/>
      <c r="K25" s="145"/>
      <c r="L25" s="145"/>
      <c r="M25" s="145"/>
      <c r="N25" s="145"/>
      <c r="O25" s="145"/>
      <c r="P25" s="145"/>
      <c r="Q25" s="92"/>
    </row>
    <row r="26" spans="1:17" s="68" customFormat="1">
      <c r="A26" s="348">
        <f>A25+1</f>
        <v>10</v>
      </c>
      <c r="B26" s="348" t="s">
        <v>149</v>
      </c>
      <c r="C26" s="490" t="s">
        <v>1708</v>
      </c>
      <c r="D26" s="348" t="s">
        <v>82</v>
      </c>
      <c r="E26" s="491">
        <f>E23</f>
        <v>861</v>
      </c>
      <c r="F26" s="170"/>
      <c r="G26" s="143"/>
      <c r="H26" s="145"/>
      <c r="I26" s="145"/>
      <c r="J26" s="156"/>
      <c r="K26" s="145"/>
      <c r="L26" s="145"/>
      <c r="M26" s="145"/>
      <c r="N26" s="145"/>
      <c r="O26" s="145"/>
      <c r="P26" s="145"/>
      <c r="Q26" s="92"/>
    </row>
    <row r="27" spans="1:17" s="68" customFormat="1">
      <c r="A27" s="348">
        <f>A26+1</f>
        <v>11</v>
      </c>
      <c r="B27" s="348" t="s">
        <v>149</v>
      </c>
      <c r="C27" s="758" t="s">
        <v>1709</v>
      </c>
      <c r="D27" s="458" t="s">
        <v>82</v>
      </c>
      <c r="E27" s="476">
        <f>E22</f>
        <v>861</v>
      </c>
      <c r="F27" s="170"/>
      <c r="G27" s="143"/>
      <c r="H27" s="145"/>
      <c r="I27" s="145"/>
      <c r="J27" s="156"/>
      <c r="K27" s="145"/>
      <c r="L27" s="145"/>
      <c r="M27" s="145"/>
      <c r="N27" s="145"/>
      <c r="O27" s="145"/>
      <c r="P27" s="145"/>
      <c r="Q27" s="92"/>
    </row>
    <row r="28" spans="1:17" s="68" customFormat="1">
      <c r="A28" s="380">
        <f>A27+1</f>
        <v>12</v>
      </c>
      <c r="B28" s="380" t="s">
        <v>149</v>
      </c>
      <c r="C28" s="759" t="s">
        <v>1710</v>
      </c>
      <c r="D28" s="425" t="s">
        <v>82</v>
      </c>
      <c r="E28" s="441">
        <f>E22</f>
        <v>861</v>
      </c>
      <c r="F28" s="172"/>
      <c r="G28" s="159"/>
      <c r="H28" s="150"/>
      <c r="I28" s="150"/>
      <c r="J28" s="160"/>
      <c r="K28" s="150"/>
      <c r="L28" s="150"/>
      <c r="M28" s="150"/>
      <c r="N28" s="150"/>
      <c r="O28" s="150"/>
      <c r="P28" s="150"/>
      <c r="Q28" s="92"/>
    </row>
    <row r="29" spans="1:17" s="68" customFormat="1" ht="24">
      <c r="A29" s="370"/>
      <c r="B29" s="370"/>
      <c r="C29" s="755" t="s">
        <v>1711</v>
      </c>
      <c r="D29" s="756" t="s">
        <v>82</v>
      </c>
      <c r="E29" s="417">
        <f>36</f>
        <v>36</v>
      </c>
      <c r="F29" s="221"/>
      <c r="G29" s="222"/>
      <c r="H29" s="135"/>
      <c r="I29" s="135"/>
      <c r="J29" s="223"/>
      <c r="K29" s="135"/>
      <c r="L29" s="135"/>
      <c r="M29" s="135"/>
      <c r="N29" s="135"/>
      <c r="O29" s="135"/>
      <c r="P29" s="135"/>
      <c r="Q29" s="92"/>
    </row>
    <row r="30" spans="1:17" s="68" customFormat="1">
      <c r="A30" s="385">
        <f>A28+1</f>
        <v>13</v>
      </c>
      <c r="B30" s="385" t="s">
        <v>149</v>
      </c>
      <c r="C30" s="510" t="s">
        <v>1708</v>
      </c>
      <c r="D30" s="385" t="s">
        <v>82</v>
      </c>
      <c r="E30" s="507">
        <f>E29</f>
        <v>36</v>
      </c>
      <c r="F30" s="171"/>
      <c r="G30" s="161"/>
      <c r="H30" s="146"/>
      <c r="I30" s="146"/>
      <c r="J30" s="163"/>
      <c r="K30" s="146"/>
      <c r="L30" s="146"/>
      <c r="M30" s="146"/>
      <c r="N30" s="146"/>
      <c r="O30" s="146"/>
      <c r="P30" s="146"/>
      <c r="Q30" s="92"/>
    </row>
    <row r="31" spans="1:17" s="68" customFormat="1">
      <c r="A31" s="348">
        <f>A30+1</f>
        <v>14</v>
      </c>
      <c r="B31" s="348" t="s">
        <v>149</v>
      </c>
      <c r="C31" s="490" t="s">
        <v>1708</v>
      </c>
      <c r="D31" s="348" t="s">
        <v>82</v>
      </c>
      <c r="E31" s="491">
        <f>E29</f>
        <v>36</v>
      </c>
      <c r="F31" s="170"/>
      <c r="G31" s="143"/>
      <c r="H31" s="145"/>
      <c r="I31" s="145"/>
      <c r="J31" s="156"/>
      <c r="K31" s="145"/>
      <c r="L31" s="145"/>
      <c r="M31" s="145"/>
      <c r="N31" s="145"/>
      <c r="O31" s="145"/>
      <c r="P31" s="145"/>
      <c r="Q31" s="92"/>
    </row>
    <row r="32" spans="1:17" s="68" customFormat="1">
      <c r="A32" s="348">
        <f>A31+1</f>
        <v>15</v>
      </c>
      <c r="B32" s="348" t="s">
        <v>149</v>
      </c>
      <c r="C32" s="758" t="s">
        <v>1709</v>
      </c>
      <c r="D32" s="458" t="s">
        <v>82</v>
      </c>
      <c r="E32" s="476">
        <f>E29</f>
        <v>36</v>
      </c>
      <c r="F32" s="170"/>
      <c r="G32" s="143"/>
      <c r="H32" s="145"/>
      <c r="I32" s="145"/>
      <c r="J32" s="156"/>
      <c r="K32" s="145"/>
      <c r="L32" s="145"/>
      <c r="M32" s="145"/>
      <c r="N32" s="145"/>
      <c r="O32" s="145"/>
      <c r="P32" s="145"/>
      <c r="Q32" s="92"/>
    </row>
    <row r="33" spans="1:17" s="68" customFormat="1">
      <c r="A33" s="380">
        <f>A32+1</f>
        <v>16</v>
      </c>
      <c r="B33" s="380" t="s">
        <v>149</v>
      </c>
      <c r="C33" s="759" t="s">
        <v>1710</v>
      </c>
      <c r="D33" s="425" t="s">
        <v>82</v>
      </c>
      <c r="E33" s="441">
        <f>E29</f>
        <v>36</v>
      </c>
      <c r="F33" s="172"/>
      <c r="G33" s="159"/>
      <c r="H33" s="150"/>
      <c r="I33" s="150"/>
      <c r="J33" s="160"/>
      <c r="K33" s="150"/>
      <c r="L33" s="150"/>
      <c r="M33" s="150"/>
      <c r="N33" s="150"/>
      <c r="O33" s="150"/>
      <c r="P33" s="150"/>
      <c r="Q33" s="92"/>
    </row>
    <row r="34" spans="1:17" s="68" customFormat="1">
      <c r="A34" s="370"/>
      <c r="B34" s="370"/>
      <c r="C34" s="755" t="s">
        <v>1712</v>
      </c>
      <c r="D34" s="756" t="s">
        <v>82</v>
      </c>
      <c r="E34" s="417">
        <f>690</f>
        <v>690</v>
      </c>
      <c r="F34" s="221"/>
      <c r="G34" s="222"/>
      <c r="H34" s="135"/>
      <c r="I34" s="135"/>
      <c r="J34" s="223"/>
      <c r="K34" s="135"/>
      <c r="L34" s="135"/>
      <c r="M34" s="135"/>
      <c r="N34" s="135"/>
      <c r="O34" s="135"/>
      <c r="P34" s="135"/>
      <c r="Q34" s="92"/>
    </row>
    <row r="35" spans="1:17" s="68" customFormat="1">
      <c r="A35" s="385">
        <f>A28+1</f>
        <v>13</v>
      </c>
      <c r="B35" s="385" t="s">
        <v>149</v>
      </c>
      <c r="C35" s="757" t="s">
        <v>110</v>
      </c>
      <c r="D35" s="426" t="str">
        <f>D34</f>
        <v>m2</v>
      </c>
      <c r="E35" s="433">
        <f>E34</f>
        <v>690</v>
      </c>
      <c r="F35" s="171"/>
      <c r="G35" s="161"/>
      <c r="H35" s="146"/>
      <c r="I35" s="146"/>
      <c r="J35" s="163"/>
      <c r="K35" s="146"/>
      <c r="L35" s="146"/>
      <c r="M35" s="146"/>
      <c r="N35" s="146"/>
      <c r="O35" s="146"/>
      <c r="P35" s="146"/>
      <c r="Q35" s="92"/>
    </row>
    <row r="36" spans="1:17" s="68" customFormat="1">
      <c r="A36" s="348">
        <f>A35+1</f>
        <v>14</v>
      </c>
      <c r="B36" s="348" t="s">
        <v>149</v>
      </c>
      <c r="C36" s="758" t="s">
        <v>1707</v>
      </c>
      <c r="D36" s="424" t="s">
        <v>84</v>
      </c>
      <c r="E36" s="354">
        <f>E34*0.3</f>
        <v>207</v>
      </c>
      <c r="F36" s="170"/>
      <c r="G36" s="143"/>
      <c r="H36" s="145"/>
      <c r="I36" s="145"/>
      <c r="J36" s="156"/>
      <c r="K36" s="145"/>
      <c r="L36" s="145"/>
      <c r="M36" s="145"/>
      <c r="N36" s="145"/>
      <c r="O36" s="145"/>
      <c r="P36" s="145"/>
      <c r="Q36" s="92"/>
    </row>
    <row r="37" spans="1:17" s="68" customFormat="1">
      <c r="A37" s="348">
        <f>A36+1</f>
        <v>15</v>
      </c>
      <c r="B37" s="348" t="s">
        <v>149</v>
      </c>
      <c r="C37" s="490" t="s">
        <v>1713</v>
      </c>
      <c r="D37" s="348" t="s">
        <v>82</v>
      </c>
      <c r="E37" s="491">
        <f>E34</f>
        <v>690</v>
      </c>
      <c r="F37" s="170"/>
      <c r="G37" s="143"/>
      <c r="H37" s="145"/>
      <c r="I37" s="145"/>
      <c r="J37" s="156"/>
      <c r="K37" s="145"/>
      <c r="L37" s="145"/>
      <c r="M37" s="145"/>
      <c r="N37" s="145"/>
      <c r="O37" s="145"/>
      <c r="P37" s="145"/>
      <c r="Q37" s="92"/>
    </row>
    <row r="38" spans="1:17" s="68" customFormat="1">
      <c r="A38" s="380">
        <f>A37+1</f>
        <v>16</v>
      </c>
      <c r="B38" s="380" t="s">
        <v>149</v>
      </c>
      <c r="C38" s="759" t="s">
        <v>1714</v>
      </c>
      <c r="D38" s="760" t="s">
        <v>82</v>
      </c>
      <c r="E38" s="764">
        <f>E34</f>
        <v>690</v>
      </c>
      <c r="F38" s="172"/>
      <c r="G38" s="159"/>
      <c r="H38" s="150"/>
      <c r="I38" s="150"/>
      <c r="J38" s="160"/>
      <c r="K38" s="150"/>
      <c r="L38" s="150"/>
      <c r="M38" s="150"/>
      <c r="N38" s="150"/>
      <c r="O38" s="150"/>
      <c r="P38" s="150"/>
      <c r="Q38" s="92"/>
    </row>
    <row r="39" spans="1:17" s="68" customFormat="1">
      <c r="A39" s="370"/>
      <c r="B39" s="370"/>
      <c r="C39" s="755" t="s">
        <v>1715</v>
      </c>
      <c r="D39" s="418"/>
      <c r="E39" s="439"/>
      <c r="F39" s="221"/>
      <c r="G39" s="222"/>
      <c r="H39" s="135"/>
      <c r="I39" s="135"/>
      <c r="J39" s="223"/>
      <c r="K39" s="135"/>
      <c r="L39" s="135"/>
      <c r="M39" s="135"/>
      <c r="N39" s="135"/>
      <c r="O39" s="135"/>
      <c r="P39" s="135"/>
      <c r="Q39" s="92"/>
    </row>
    <row r="40" spans="1:17" s="68" customFormat="1" ht="36">
      <c r="A40" s="385">
        <f>A38+1</f>
        <v>17</v>
      </c>
      <c r="B40" s="385" t="s">
        <v>149</v>
      </c>
      <c r="C40" s="510" t="s">
        <v>1716</v>
      </c>
      <c r="D40" s="385" t="s">
        <v>77</v>
      </c>
      <c r="E40" s="507">
        <f>99</f>
        <v>99</v>
      </c>
      <c r="F40" s="171"/>
      <c r="G40" s="161"/>
      <c r="H40" s="146"/>
      <c r="I40" s="146"/>
      <c r="J40" s="163"/>
      <c r="K40" s="146"/>
      <c r="L40" s="146"/>
      <c r="M40" s="146"/>
      <c r="N40" s="146"/>
      <c r="O40" s="146"/>
      <c r="P40" s="146"/>
      <c r="Q40" s="92"/>
    </row>
    <row r="41" spans="1:17" s="68" customFormat="1" ht="36">
      <c r="A41" s="348">
        <f>A40+1</f>
        <v>18</v>
      </c>
      <c r="B41" s="348" t="s">
        <v>149</v>
      </c>
      <c r="C41" s="490" t="s">
        <v>1717</v>
      </c>
      <c r="D41" s="348" t="s">
        <v>77</v>
      </c>
      <c r="E41" s="491">
        <v>14</v>
      </c>
      <c r="F41" s="170"/>
      <c r="G41" s="143"/>
      <c r="H41" s="145"/>
      <c r="I41" s="145"/>
      <c r="J41" s="156"/>
      <c r="K41" s="145"/>
      <c r="L41" s="145"/>
      <c r="M41" s="145"/>
      <c r="N41" s="145"/>
      <c r="O41" s="145"/>
      <c r="P41" s="145"/>
      <c r="Q41" s="92"/>
    </row>
    <row r="42" spans="1:17" s="68" customFormat="1" ht="36">
      <c r="A42" s="348">
        <f>A41+1</f>
        <v>19</v>
      </c>
      <c r="B42" s="348" t="s">
        <v>149</v>
      </c>
      <c r="C42" s="490" t="s">
        <v>1718</v>
      </c>
      <c r="D42" s="348" t="s">
        <v>77</v>
      </c>
      <c r="E42" s="491">
        <v>9</v>
      </c>
      <c r="F42" s="170"/>
      <c r="G42" s="143"/>
      <c r="H42" s="145"/>
      <c r="I42" s="145"/>
      <c r="J42" s="156"/>
      <c r="K42" s="145"/>
      <c r="L42" s="145"/>
      <c r="M42" s="145"/>
      <c r="N42" s="145"/>
      <c r="O42" s="145"/>
      <c r="P42" s="145"/>
      <c r="Q42" s="92"/>
    </row>
    <row r="43" spans="1:17" s="68" customFormat="1" ht="36">
      <c r="A43" s="380">
        <f>A42+1</f>
        <v>20</v>
      </c>
      <c r="B43" s="380" t="s">
        <v>149</v>
      </c>
      <c r="C43" s="511" t="s">
        <v>1719</v>
      </c>
      <c r="D43" s="380" t="s">
        <v>77</v>
      </c>
      <c r="E43" s="506">
        <v>120</v>
      </c>
      <c r="F43" s="172"/>
      <c r="G43" s="159"/>
      <c r="H43" s="150"/>
      <c r="I43" s="150"/>
      <c r="J43" s="160"/>
      <c r="K43" s="150"/>
      <c r="L43" s="150"/>
      <c r="M43" s="150"/>
      <c r="N43" s="150"/>
      <c r="O43" s="150"/>
      <c r="P43" s="150"/>
      <c r="Q43" s="92"/>
    </row>
    <row r="44" spans="1:17" s="68" customFormat="1">
      <c r="A44" s="370"/>
      <c r="B44" s="370"/>
      <c r="C44" s="755" t="s">
        <v>1720</v>
      </c>
      <c r="D44" s="418"/>
      <c r="E44" s="439"/>
      <c r="F44" s="221"/>
      <c r="G44" s="222"/>
      <c r="H44" s="135"/>
      <c r="I44" s="135"/>
      <c r="J44" s="223"/>
      <c r="K44" s="135"/>
      <c r="L44" s="135"/>
      <c r="M44" s="135"/>
      <c r="N44" s="135"/>
      <c r="O44" s="135"/>
      <c r="P44" s="135"/>
      <c r="Q44" s="92"/>
    </row>
    <row r="45" spans="1:17" s="68" customFormat="1">
      <c r="A45" s="373">
        <f>A43+1</f>
        <v>21</v>
      </c>
      <c r="B45" s="373" t="s">
        <v>149</v>
      </c>
      <c r="C45" s="761" t="s">
        <v>1721</v>
      </c>
      <c r="D45" s="422" t="s">
        <v>82</v>
      </c>
      <c r="E45" s="440">
        <v>25</v>
      </c>
      <c r="F45" s="173"/>
      <c r="G45" s="174"/>
      <c r="H45" s="153"/>
      <c r="I45" s="153"/>
      <c r="J45" s="175"/>
      <c r="K45" s="153"/>
      <c r="L45" s="153"/>
      <c r="M45" s="153"/>
      <c r="N45" s="153"/>
      <c r="O45" s="153"/>
      <c r="P45" s="153"/>
      <c r="Q45" s="92"/>
    </row>
    <row r="46" spans="1:17" s="68" customFormat="1">
      <c r="A46" s="370"/>
      <c r="B46" s="370"/>
      <c r="C46" s="755" t="s">
        <v>1722</v>
      </c>
      <c r="D46" s="418"/>
      <c r="E46" s="439"/>
      <c r="F46" s="221"/>
      <c r="G46" s="222"/>
      <c r="H46" s="135"/>
      <c r="I46" s="135"/>
      <c r="J46" s="223"/>
      <c r="K46" s="135"/>
      <c r="L46" s="135"/>
      <c r="M46" s="135"/>
      <c r="N46" s="135"/>
      <c r="O46" s="135"/>
      <c r="P46" s="135"/>
      <c r="Q46" s="92"/>
    </row>
    <row r="47" spans="1:17" s="68" customFormat="1">
      <c r="A47" s="385">
        <f>A45+1</f>
        <v>22</v>
      </c>
      <c r="B47" s="385" t="s">
        <v>149</v>
      </c>
      <c r="C47" s="386" t="s">
        <v>1723</v>
      </c>
      <c r="D47" s="387" t="s">
        <v>80</v>
      </c>
      <c r="E47" s="388">
        <v>5</v>
      </c>
      <c r="F47" s="171"/>
      <c r="G47" s="161"/>
      <c r="H47" s="146"/>
      <c r="I47" s="146"/>
      <c r="J47" s="163"/>
      <c r="K47" s="146"/>
      <c r="L47" s="146"/>
      <c r="M47" s="146"/>
      <c r="N47" s="146"/>
      <c r="O47" s="146"/>
      <c r="P47" s="146"/>
      <c r="Q47" s="92"/>
    </row>
    <row r="48" spans="1:17" s="68" customFormat="1">
      <c r="A48" s="348">
        <f>A47+1</f>
        <v>23</v>
      </c>
      <c r="B48" s="348" t="s">
        <v>149</v>
      </c>
      <c r="C48" s="377" t="s">
        <v>1724</v>
      </c>
      <c r="D48" s="378" t="s">
        <v>80</v>
      </c>
      <c r="E48" s="379">
        <v>4</v>
      </c>
      <c r="F48" s="170"/>
      <c r="G48" s="143"/>
      <c r="H48" s="145"/>
      <c r="I48" s="145"/>
      <c r="J48" s="156"/>
      <c r="K48" s="145"/>
      <c r="L48" s="145"/>
      <c r="M48" s="145"/>
      <c r="N48" s="145"/>
      <c r="O48" s="145"/>
      <c r="P48" s="145"/>
      <c r="Q48" s="92"/>
    </row>
    <row r="49" spans="1:17" s="68" customFormat="1">
      <c r="A49" s="348">
        <f>A48+1</f>
        <v>24</v>
      </c>
      <c r="B49" s="348" t="s">
        <v>149</v>
      </c>
      <c r="C49" s="377" t="s">
        <v>1725</v>
      </c>
      <c r="D49" s="378" t="s">
        <v>80</v>
      </c>
      <c r="E49" s="379">
        <v>25</v>
      </c>
      <c r="F49" s="170"/>
      <c r="G49" s="143"/>
      <c r="H49" s="145"/>
      <c r="I49" s="145"/>
      <c r="J49" s="156"/>
      <c r="K49" s="145"/>
      <c r="L49" s="145"/>
      <c r="M49" s="145"/>
      <c r="N49" s="145"/>
      <c r="O49" s="145"/>
      <c r="P49" s="145"/>
      <c r="Q49" s="92"/>
    </row>
    <row r="50" spans="1:17" s="68" customFormat="1">
      <c r="A50" s="348">
        <f>A49+1</f>
        <v>25</v>
      </c>
      <c r="B50" s="348" t="s">
        <v>149</v>
      </c>
      <c r="C50" s="377" t="s">
        <v>1726</v>
      </c>
      <c r="D50" s="378" t="s">
        <v>80</v>
      </c>
      <c r="E50" s="379">
        <v>6</v>
      </c>
      <c r="F50" s="170"/>
      <c r="G50" s="143"/>
      <c r="H50" s="145"/>
      <c r="I50" s="145"/>
      <c r="J50" s="156"/>
      <c r="K50" s="145"/>
      <c r="L50" s="145"/>
      <c r="M50" s="145"/>
      <c r="N50" s="145"/>
      <c r="O50" s="145"/>
      <c r="P50" s="145"/>
      <c r="Q50" s="92"/>
    </row>
    <row r="51" spans="1:17" s="68" customFormat="1">
      <c r="A51" s="348">
        <f>A50+1</f>
        <v>26</v>
      </c>
      <c r="B51" s="348" t="s">
        <v>149</v>
      </c>
      <c r="C51" s="377" t="s">
        <v>1727</v>
      </c>
      <c r="D51" s="378" t="s">
        <v>80</v>
      </c>
      <c r="E51" s="379">
        <v>5</v>
      </c>
      <c r="F51" s="170"/>
      <c r="G51" s="143"/>
      <c r="H51" s="145"/>
      <c r="I51" s="145"/>
      <c r="J51" s="156"/>
      <c r="K51" s="145"/>
      <c r="L51" s="145"/>
      <c r="M51" s="145"/>
      <c r="N51" s="145"/>
      <c r="O51" s="145"/>
      <c r="P51" s="145"/>
      <c r="Q51" s="92"/>
    </row>
    <row r="52" spans="1:17" s="68" customFormat="1" ht="24">
      <c r="A52" s="366">
        <f>A51+1</f>
        <v>27</v>
      </c>
      <c r="B52" s="366" t="s">
        <v>149</v>
      </c>
      <c r="C52" s="436" t="s">
        <v>1728</v>
      </c>
      <c r="D52" s="495" t="s">
        <v>80</v>
      </c>
      <c r="E52" s="546">
        <v>24</v>
      </c>
      <c r="F52" s="171"/>
      <c r="G52" s="161"/>
      <c r="H52" s="146"/>
      <c r="I52" s="146"/>
      <c r="J52" s="163"/>
      <c r="K52" s="146"/>
      <c r="L52" s="146"/>
      <c r="M52" s="146"/>
      <c r="N52" s="146"/>
      <c r="O52" s="146"/>
      <c r="P52" s="146"/>
      <c r="Q52" s="92"/>
    </row>
    <row r="53" spans="1:17">
      <c r="A53" s="890" t="s">
        <v>177</v>
      </c>
      <c r="B53" s="890"/>
      <c r="C53" s="890"/>
      <c r="D53" s="890"/>
      <c r="E53" s="890"/>
      <c r="F53" s="890"/>
      <c r="G53" s="890"/>
      <c r="H53" s="890"/>
      <c r="I53" s="890"/>
      <c r="J53" s="890"/>
      <c r="K53" s="890"/>
      <c r="L53" s="131"/>
      <c r="M53" s="131"/>
      <c r="N53" s="131"/>
      <c r="O53" s="131"/>
      <c r="P53" s="131"/>
    </row>
    <row r="54" spans="1:17" s="50" customFormat="1" collapsed="1">
      <c r="A54" s="932" t="s">
        <v>36</v>
      </c>
      <c r="B54" s="932"/>
      <c r="C54" s="1"/>
      <c r="D54" s="1"/>
      <c r="E54" s="1"/>
      <c r="F54" s="1"/>
      <c r="G54" s="1"/>
      <c r="H54" s="1"/>
      <c r="I54" s="1"/>
      <c r="J54" s="1"/>
      <c r="K54" s="1"/>
      <c r="L54" s="1"/>
      <c r="M54" s="1"/>
      <c r="N54" s="1"/>
      <c r="O54" s="1"/>
      <c r="P54" s="1"/>
    </row>
    <row r="55" spans="1:17" s="50" customFormat="1" ht="15" customHeight="1" collapsed="1">
      <c r="A55" s="886" t="s">
        <v>56</v>
      </c>
      <c r="B55" s="886"/>
      <c r="C55" s="886"/>
      <c r="D55" s="886"/>
      <c r="E55" s="886"/>
      <c r="F55" s="886"/>
      <c r="G55" s="886"/>
      <c r="H55" s="886"/>
      <c r="I55" s="886"/>
      <c r="J55" s="886"/>
      <c r="K55" s="886"/>
      <c r="L55" s="886"/>
      <c r="M55" s="886"/>
      <c r="N55" s="886"/>
      <c r="O55" s="886"/>
      <c r="P55" s="886"/>
    </row>
    <row r="56" spans="1:17">
      <c r="A56" s="903"/>
      <c r="B56" s="903"/>
      <c r="C56" s="9"/>
      <c r="D56" s="9"/>
      <c r="E56" s="9"/>
      <c r="F56" s="9"/>
      <c r="G56" s="9"/>
      <c r="H56" s="9"/>
      <c r="I56" s="9"/>
      <c r="J56" s="9"/>
      <c r="K56" s="9"/>
      <c r="L56" s="50">
        <f>Koptame!A46</f>
        <v>0</v>
      </c>
      <c r="M56" s="50"/>
      <c r="N56" s="50"/>
      <c r="O56" s="50"/>
      <c r="P56" s="50"/>
    </row>
    <row r="57" spans="1:17">
      <c r="A57" s="902" t="s">
        <v>7</v>
      </c>
      <c r="B57" s="902"/>
      <c r="C57" s="307"/>
      <c r="D57" s="9"/>
      <c r="E57" s="9"/>
      <c r="F57" s="9"/>
      <c r="G57" s="9"/>
      <c r="H57" s="9"/>
      <c r="I57" s="9"/>
      <c r="J57" s="9"/>
      <c r="K57" s="9"/>
      <c r="L57" s="307"/>
      <c r="M57" s="81">
        <f>Koptame!B47</f>
        <v>0</v>
      </c>
      <c r="N57" s="81"/>
      <c r="O57" s="50"/>
      <c r="P57" s="50"/>
    </row>
  </sheetData>
  <mergeCells count="24">
    <mergeCell ref="A1:P1"/>
    <mergeCell ref="A2:P2"/>
    <mergeCell ref="A3:B3"/>
    <mergeCell ref="C3:P3"/>
    <mergeCell ref="A4:B4"/>
    <mergeCell ref="C4:P4"/>
    <mergeCell ref="A5:B5"/>
    <mergeCell ref="C5:P5"/>
    <mergeCell ref="A6:B6"/>
    <mergeCell ref="C6:P6"/>
    <mergeCell ref="A7:B7"/>
    <mergeCell ref="C7:P7"/>
    <mergeCell ref="A57:B57"/>
    <mergeCell ref="A54:B54"/>
    <mergeCell ref="A56:B56"/>
    <mergeCell ref="L10:P10"/>
    <mergeCell ref="A53:K53"/>
    <mergeCell ref="A10:A11"/>
    <mergeCell ref="B10:B11"/>
    <mergeCell ref="C10:C11"/>
    <mergeCell ref="D10:D11"/>
    <mergeCell ref="E10:E11"/>
    <mergeCell ref="F10:K10"/>
    <mergeCell ref="A55:P55"/>
  </mergeCells>
  <conditionalFormatting sqref="C44:C45 C39 C13:C16 C22 C29:C30">
    <cfRule type="expression" priority="52" stopIfTrue="1">
      <formula>#REF!</formula>
    </cfRule>
  </conditionalFormatting>
  <conditionalFormatting sqref="C44:C45 C39 C13:C16 C22 C29:C30">
    <cfRule type="expression" priority="51" stopIfTrue="1">
      <formula>#REF!</formula>
    </cfRule>
  </conditionalFormatting>
  <conditionalFormatting sqref="C18 C34">
    <cfRule type="expression" priority="50" stopIfTrue="1">
      <formula>#REF!</formula>
    </cfRule>
  </conditionalFormatting>
  <conditionalFormatting sqref="C18 C34">
    <cfRule type="expression" priority="49" stopIfTrue="1">
      <formula>#REF!</formula>
    </cfRule>
  </conditionalFormatting>
  <conditionalFormatting sqref="C24:C25 C27:C28 C20">
    <cfRule type="expression" priority="48" stopIfTrue="1">
      <formula>#REF!</formula>
    </cfRule>
  </conditionalFormatting>
  <conditionalFormatting sqref="C24:C25 C27:C28 C20">
    <cfRule type="expression" priority="47" stopIfTrue="1">
      <formula>#REF!</formula>
    </cfRule>
  </conditionalFormatting>
  <conditionalFormatting sqref="C23">
    <cfRule type="expression" priority="44" stopIfTrue="1">
      <formula>#REF!</formula>
    </cfRule>
  </conditionalFormatting>
  <conditionalFormatting sqref="C23">
    <cfRule type="expression" priority="43" stopIfTrue="1">
      <formula>#REF!</formula>
    </cfRule>
  </conditionalFormatting>
  <conditionalFormatting sqref="C26">
    <cfRule type="expression" priority="42" stopIfTrue="1">
      <formula>#REF!</formula>
    </cfRule>
  </conditionalFormatting>
  <conditionalFormatting sqref="C26">
    <cfRule type="expression" priority="41" stopIfTrue="1">
      <formula>#REF!</formula>
    </cfRule>
  </conditionalFormatting>
  <conditionalFormatting sqref="C40">
    <cfRule type="expression" priority="38" stopIfTrue="1">
      <formula>#REF!</formula>
    </cfRule>
  </conditionalFormatting>
  <conditionalFormatting sqref="C40">
    <cfRule type="expression" priority="37" stopIfTrue="1">
      <formula>#REF!</formula>
    </cfRule>
  </conditionalFormatting>
  <conditionalFormatting sqref="C36:C38">
    <cfRule type="expression" priority="36" stopIfTrue="1">
      <formula>#REF!</formula>
    </cfRule>
  </conditionalFormatting>
  <conditionalFormatting sqref="C36:C38">
    <cfRule type="expression" priority="35" stopIfTrue="1">
      <formula>#REF!</formula>
    </cfRule>
  </conditionalFormatting>
  <conditionalFormatting sqref="C35">
    <cfRule type="expression" priority="34" stopIfTrue="1">
      <formula>#REF!</formula>
    </cfRule>
  </conditionalFormatting>
  <conditionalFormatting sqref="C35">
    <cfRule type="expression" priority="33" stopIfTrue="1">
      <formula>#REF!</formula>
    </cfRule>
  </conditionalFormatting>
  <conditionalFormatting sqref="C47">
    <cfRule type="expression" priority="30" stopIfTrue="1">
      <formula>#REF!</formula>
    </cfRule>
  </conditionalFormatting>
  <conditionalFormatting sqref="C47">
    <cfRule type="expression" priority="29" stopIfTrue="1">
      <formula>#REF!</formula>
    </cfRule>
  </conditionalFormatting>
  <conditionalFormatting sqref="C48">
    <cfRule type="expression" priority="28" stopIfTrue="1">
      <formula>#REF!</formula>
    </cfRule>
  </conditionalFormatting>
  <conditionalFormatting sqref="C48">
    <cfRule type="expression" priority="27" stopIfTrue="1">
      <formula>#REF!</formula>
    </cfRule>
  </conditionalFormatting>
  <conditionalFormatting sqref="C46">
    <cfRule type="expression" priority="26" stopIfTrue="1">
      <formula>#REF!</formula>
    </cfRule>
  </conditionalFormatting>
  <conditionalFormatting sqref="C46">
    <cfRule type="expression" priority="25" stopIfTrue="1">
      <formula>#REF!</formula>
    </cfRule>
  </conditionalFormatting>
  <conditionalFormatting sqref="C21">
    <cfRule type="expression" priority="32" stopIfTrue="1">
      <formula>#REF!</formula>
    </cfRule>
  </conditionalFormatting>
  <conditionalFormatting sqref="C21">
    <cfRule type="expression" priority="31" stopIfTrue="1">
      <formula>#REF!</formula>
    </cfRule>
  </conditionalFormatting>
  <conditionalFormatting sqref="C32:C33">
    <cfRule type="expression" priority="24" stopIfTrue="1">
      <formula>#REF!</formula>
    </cfRule>
  </conditionalFormatting>
  <conditionalFormatting sqref="C32:C33">
    <cfRule type="expression" priority="23" stopIfTrue="1">
      <formula>#REF!</formula>
    </cfRule>
  </conditionalFormatting>
  <conditionalFormatting sqref="C31">
    <cfRule type="expression" priority="20" stopIfTrue="1">
      <formula>#REF!</formula>
    </cfRule>
  </conditionalFormatting>
  <conditionalFormatting sqref="C31">
    <cfRule type="expression" priority="19" stopIfTrue="1">
      <formula>#REF!</formula>
    </cfRule>
  </conditionalFormatting>
  <conditionalFormatting sqref="C41">
    <cfRule type="expression" priority="18" stopIfTrue="1">
      <formula>#REF!</formula>
    </cfRule>
  </conditionalFormatting>
  <conditionalFormatting sqref="C41">
    <cfRule type="expression" priority="17" stopIfTrue="1">
      <formula>#REF!</formula>
    </cfRule>
  </conditionalFormatting>
  <conditionalFormatting sqref="C42">
    <cfRule type="expression" priority="16" stopIfTrue="1">
      <formula>#REF!</formula>
    </cfRule>
  </conditionalFormatting>
  <conditionalFormatting sqref="C42">
    <cfRule type="expression" priority="15" stopIfTrue="1">
      <formula>#REF!</formula>
    </cfRule>
  </conditionalFormatting>
  <conditionalFormatting sqref="C43">
    <cfRule type="expression" priority="14" stopIfTrue="1">
      <formula>#REF!</formula>
    </cfRule>
  </conditionalFormatting>
  <conditionalFormatting sqref="C43">
    <cfRule type="expression" priority="13" stopIfTrue="1">
      <formula>#REF!</formula>
    </cfRule>
  </conditionalFormatting>
  <conditionalFormatting sqref="C49">
    <cfRule type="expression" priority="12" stopIfTrue="1">
      <formula>#REF!</formula>
    </cfRule>
  </conditionalFormatting>
  <conditionalFormatting sqref="C49">
    <cfRule type="expression" priority="11" stopIfTrue="1">
      <formula>#REF!</formula>
    </cfRule>
  </conditionalFormatting>
  <conditionalFormatting sqref="C50">
    <cfRule type="expression" priority="10" stopIfTrue="1">
      <formula>#REF!</formula>
    </cfRule>
  </conditionalFormatting>
  <conditionalFormatting sqref="C50">
    <cfRule type="expression" priority="9" stopIfTrue="1">
      <formula>#REF!</formula>
    </cfRule>
  </conditionalFormatting>
  <conditionalFormatting sqref="C51">
    <cfRule type="expression" priority="8" stopIfTrue="1">
      <formula>#REF!</formula>
    </cfRule>
  </conditionalFormatting>
  <conditionalFormatting sqref="C51">
    <cfRule type="expression" priority="7" stopIfTrue="1">
      <formula>#REF!</formula>
    </cfRule>
  </conditionalFormatting>
  <conditionalFormatting sqref="C52">
    <cfRule type="expression" priority="6" stopIfTrue="1">
      <formula>#REF!</formula>
    </cfRule>
  </conditionalFormatting>
  <conditionalFormatting sqref="C52">
    <cfRule type="expression" priority="5" stopIfTrue="1">
      <formula>#REF!</formula>
    </cfRule>
  </conditionalFormatting>
  <conditionalFormatting sqref="C17">
    <cfRule type="expression" priority="4" stopIfTrue="1">
      <formula>#REF!</formula>
    </cfRule>
  </conditionalFormatting>
  <conditionalFormatting sqref="C17">
    <cfRule type="expression" priority="3" stopIfTrue="1">
      <formula>#REF!</formula>
    </cfRule>
  </conditionalFormatting>
  <conditionalFormatting sqref="C19">
    <cfRule type="expression" priority="2" stopIfTrue="1">
      <formula>#REF!</formula>
    </cfRule>
  </conditionalFormatting>
  <conditionalFormatting sqref="C19">
    <cfRule type="expression" priority="1"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sheetPr>
  <dimension ref="A1:I34"/>
  <sheetViews>
    <sheetView zoomScale="75" zoomScaleNormal="75" workbookViewId="0">
      <selection activeCell="A2" sqref="A2:I2"/>
    </sheetView>
  </sheetViews>
  <sheetFormatPr defaultColWidth="9.140625" defaultRowHeight="12.75"/>
  <cols>
    <col min="1" max="1" width="10.28515625" style="34" customWidth="1"/>
    <col min="2" max="2" width="12.7109375" style="34" customWidth="1"/>
    <col min="3" max="3" width="32.7109375" style="34" customWidth="1"/>
    <col min="4" max="4" width="10" style="34" customWidth="1"/>
    <col min="5" max="5" width="13.28515625" style="34" customWidth="1"/>
    <col min="6" max="6" width="13.7109375" style="34" customWidth="1"/>
    <col min="7" max="7" width="17.5703125" style="34" customWidth="1"/>
    <col min="8" max="8" width="12.85546875" style="34" customWidth="1"/>
    <col min="9" max="9" width="16" style="34" customWidth="1"/>
    <col min="10" max="16384" width="9.140625" style="34"/>
  </cols>
  <sheetData>
    <row r="1" spans="1:9" ht="18.75">
      <c r="A1" s="89"/>
    </row>
    <row r="2" spans="1:9" ht="18" customHeight="1">
      <c r="A2" s="861" t="s">
        <v>102</v>
      </c>
      <c r="B2" s="861"/>
      <c r="C2" s="861"/>
      <c r="D2" s="861"/>
      <c r="E2" s="861"/>
      <c r="F2" s="861"/>
      <c r="G2" s="861"/>
      <c r="H2" s="861"/>
      <c r="I2" s="861"/>
    </row>
    <row r="3" spans="1:9" ht="18.75">
      <c r="C3" s="35"/>
      <c r="D3" s="36"/>
      <c r="F3" s="37"/>
      <c r="G3" s="37"/>
      <c r="H3" s="37"/>
      <c r="I3" s="37"/>
    </row>
    <row r="4" spans="1:9">
      <c r="A4" s="38"/>
    </row>
    <row r="5" spans="1:9" ht="18.75">
      <c r="A5" s="911" t="str">
        <f>Koptame!B22</f>
        <v>Ārējie inženiertīkli</v>
      </c>
      <c r="B5" s="912"/>
      <c r="C5" s="912"/>
      <c r="D5" s="912"/>
      <c r="E5" s="912"/>
      <c r="F5" s="912"/>
      <c r="G5" s="912"/>
      <c r="H5" s="912"/>
      <c r="I5" s="913"/>
    </row>
    <row r="6" spans="1:9">
      <c r="A6" s="38"/>
    </row>
    <row r="7" spans="1:9" ht="15.75" customHeight="1">
      <c r="A7" s="868" t="s">
        <v>10</v>
      </c>
      <c r="B7" s="868"/>
      <c r="C7" s="859" t="s">
        <v>49</v>
      </c>
      <c r="D7" s="859"/>
      <c r="E7" s="859"/>
      <c r="F7" s="859"/>
      <c r="G7" s="859"/>
      <c r="H7" s="859"/>
      <c r="I7" s="859"/>
    </row>
    <row r="8" spans="1:9" ht="15.75" customHeight="1">
      <c r="A8" s="850" t="s">
        <v>11</v>
      </c>
      <c r="B8" s="850"/>
      <c r="C8" s="859" t="str">
        <f>'Kopsavilkums 1'!C8:I8</f>
        <v>Bērnu klīniskās universitātes slimnīcas (BKUS) 34. korpusa pārbūve</v>
      </c>
      <c r="D8" s="859"/>
      <c r="E8" s="859"/>
      <c r="F8" s="859"/>
      <c r="G8" s="859"/>
      <c r="H8" s="859"/>
      <c r="I8" s="859"/>
    </row>
    <row r="9" spans="1:9" ht="15.75" customHeight="1">
      <c r="A9" s="850" t="s">
        <v>12</v>
      </c>
      <c r="B9" s="850"/>
      <c r="C9" s="859" t="s">
        <v>50</v>
      </c>
      <c r="D9" s="859"/>
      <c r="E9" s="859"/>
      <c r="F9" s="859"/>
      <c r="G9" s="859"/>
      <c r="H9" s="859"/>
      <c r="I9" s="859"/>
    </row>
    <row r="10" spans="1:9" ht="15.75" customHeight="1">
      <c r="A10" s="850" t="s">
        <v>30</v>
      </c>
      <c r="B10" s="850"/>
      <c r="C10" s="52"/>
      <c r="D10" s="53"/>
      <c r="E10" s="39"/>
      <c r="F10" s="39"/>
      <c r="G10" s="39"/>
      <c r="H10" s="39"/>
      <c r="I10" s="39"/>
    </row>
    <row r="11" spans="1:9" ht="15" customHeight="1">
      <c r="A11" s="850" t="s">
        <v>54</v>
      </c>
      <c r="B11" s="850"/>
      <c r="C11" s="53"/>
      <c r="D11" s="53"/>
      <c r="E11" s="39"/>
      <c r="F11" s="39"/>
      <c r="G11" s="39"/>
      <c r="H11" s="39"/>
      <c r="I11" s="39"/>
    </row>
    <row r="12" spans="1:9" ht="18" customHeight="1">
      <c r="A12" s="53"/>
      <c r="B12" s="39"/>
      <c r="C12" s="39"/>
      <c r="D12" s="39"/>
      <c r="E12" s="39"/>
      <c r="F12" s="862" t="s">
        <v>43</v>
      </c>
      <c r="G12" s="863"/>
      <c r="H12" s="39"/>
      <c r="I12" s="39"/>
    </row>
    <row r="13" spans="1:9" ht="18.75" customHeight="1">
      <c r="A13" s="53"/>
      <c r="B13" s="39"/>
      <c r="C13" s="39"/>
      <c r="D13" s="39"/>
      <c r="E13" s="39"/>
      <c r="F13" s="862" t="s">
        <v>13</v>
      </c>
      <c r="G13" s="863"/>
      <c r="H13" s="39"/>
      <c r="I13" s="39"/>
    </row>
    <row r="14" spans="1:9" ht="15.75">
      <c r="A14" s="90"/>
    </row>
    <row r="15" spans="1:9" ht="51" customHeight="1">
      <c r="A15" s="860" t="s">
        <v>14</v>
      </c>
      <c r="B15" s="860" t="s">
        <v>15</v>
      </c>
      <c r="C15" s="869" t="s">
        <v>16</v>
      </c>
      <c r="D15" s="870"/>
      <c r="E15" s="860" t="s">
        <v>44</v>
      </c>
      <c r="F15" s="860" t="s">
        <v>17</v>
      </c>
      <c r="G15" s="860"/>
      <c r="H15" s="860"/>
      <c r="I15" s="860" t="s">
        <v>18</v>
      </c>
    </row>
    <row r="16" spans="1:9" ht="40.5" customHeight="1">
      <c r="A16" s="860"/>
      <c r="B16" s="860"/>
      <c r="C16" s="871"/>
      <c r="D16" s="872"/>
      <c r="E16" s="860"/>
      <c r="F16" s="176" t="s">
        <v>45</v>
      </c>
      <c r="G16" s="176" t="s">
        <v>46</v>
      </c>
      <c r="H16" s="176" t="s">
        <v>47</v>
      </c>
      <c r="I16" s="860"/>
    </row>
    <row r="17" spans="1:9" ht="15.6" customHeight="1">
      <c r="A17" s="765">
        <v>1</v>
      </c>
      <c r="B17" s="766" t="s">
        <v>1729</v>
      </c>
      <c r="C17" s="943" t="s">
        <v>1730</v>
      </c>
      <c r="D17" s="943"/>
      <c r="E17" s="767"/>
      <c r="F17" s="767"/>
      <c r="G17" s="767"/>
      <c r="H17" s="767"/>
      <c r="I17" s="767"/>
    </row>
    <row r="18" spans="1:9" s="95" customFormat="1">
      <c r="A18" s="768">
        <f>A17+1</f>
        <v>2</v>
      </c>
      <c r="B18" s="769" t="s">
        <v>1731</v>
      </c>
      <c r="C18" s="942" t="s">
        <v>1732</v>
      </c>
      <c r="D18" s="942"/>
      <c r="E18" s="539"/>
      <c r="F18" s="539"/>
      <c r="G18" s="539"/>
      <c r="H18" s="539"/>
      <c r="I18" s="540"/>
    </row>
    <row r="19" spans="1:9" ht="15.75" customHeight="1">
      <c r="A19" s="851" t="s">
        <v>19</v>
      </c>
      <c r="B19" s="852"/>
      <c r="C19" s="853"/>
      <c r="D19" s="176"/>
      <c r="E19" s="124"/>
      <c r="F19" s="124"/>
      <c r="G19" s="124"/>
      <c r="H19" s="124"/>
      <c r="I19" s="124"/>
    </row>
    <row r="20" spans="1:9" ht="15.75" customHeight="1">
      <c r="A20" s="848" t="s">
        <v>31</v>
      </c>
      <c r="B20" s="848"/>
      <c r="C20" s="848"/>
      <c r="D20" s="125" t="s">
        <v>114</v>
      </c>
      <c r="E20" s="126"/>
      <c r="F20" s="126"/>
      <c r="G20" s="126"/>
      <c r="H20" s="126"/>
      <c r="I20" s="124"/>
    </row>
    <row r="21" spans="1:9" ht="15.75" customHeight="1">
      <c r="A21" s="854" t="s">
        <v>35</v>
      </c>
      <c r="B21" s="855"/>
      <c r="C21" s="856"/>
      <c r="D21" s="125" t="s">
        <v>114</v>
      </c>
      <c r="E21" s="126"/>
      <c r="F21" s="126"/>
      <c r="G21" s="126"/>
      <c r="H21" s="126"/>
      <c r="I21" s="124"/>
    </row>
    <row r="22" spans="1:9" ht="15.75" customHeight="1">
      <c r="A22" s="848" t="s">
        <v>29</v>
      </c>
      <c r="B22" s="848"/>
      <c r="C22" s="848"/>
      <c r="D22" s="125" t="s">
        <v>114</v>
      </c>
      <c r="E22" s="126"/>
      <c r="F22" s="126"/>
      <c r="G22" s="126"/>
      <c r="H22" s="126"/>
      <c r="I22" s="124"/>
    </row>
    <row r="23" spans="1:9" ht="15.75" customHeight="1">
      <c r="A23" s="851" t="s">
        <v>20</v>
      </c>
      <c r="B23" s="852"/>
      <c r="C23" s="853"/>
      <c r="D23" s="132"/>
      <c r="E23" s="124"/>
      <c r="F23" s="124"/>
      <c r="G23" s="124"/>
      <c r="H23" s="124"/>
      <c r="I23" s="124"/>
    </row>
    <row r="24" spans="1:9" ht="18.75">
      <c r="A24" s="41"/>
    </row>
    <row r="25" spans="1:9" ht="18.75">
      <c r="A25" s="41"/>
    </row>
    <row r="26" spans="1:9" ht="15">
      <c r="A26" s="76" t="s">
        <v>7</v>
      </c>
      <c r="B26" s="3"/>
      <c r="C26" s="4"/>
      <c r="F26" s="39"/>
    </row>
    <row r="27" spans="1:9" ht="15">
      <c r="A27" s="39"/>
      <c r="B27" s="4"/>
      <c r="C27" s="5"/>
      <c r="D27" s="42"/>
      <c r="E27" s="42"/>
      <c r="F27" s="39"/>
    </row>
    <row r="28" spans="1:9" ht="15">
      <c r="A28" s="43"/>
      <c r="B28" s="3"/>
      <c r="C28" s="6"/>
      <c r="D28" s="39"/>
      <c r="E28" s="39"/>
      <c r="F28" s="39"/>
    </row>
    <row r="29" spans="1:9" ht="15">
      <c r="B29" s="3"/>
      <c r="C29" s="6"/>
    </row>
    <row r="30" spans="1:9" ht="15">
      <c r="B30" s="3"/>
      <c r="C30" s="6"/>
    </row>
    <row r="31" spans="1:9" ht="11.25" customHeight="1">
      <c r="B31" s="7"/>
      <c r="C31" s="1"/>
    </row>
    <row r="32" spans="1:9" ht="15" hidden="1">
      <c r="B32" s="3">
        <f>Koptame!A37</f>
        <v>0</v>
      </c>
      <c r="C32" s="2">
        <f>Koptame!B37</f>
        <v>0</v>
      </c>
    </row>
    <row r="33" spans="2:3" ht="15" hidden="1">
      <c r="B33" s="4">
        <f>Koptame!A38</f>
        <v>0</v>
      </c>
      <c r="C33" s="5">
        <f>Koptame!B38</f>
        <v>0</v>
      </c>
    </row>
    <row r="34" spans="2:3" ht="15" hidden="1">
      <c r="B34" s="3">
        <f>Koptame!A39</f>
        <v>0</v>
      </c>
      <c r="C34" s="6">
        <f>Koptame!B39</f>
        <v>0</v>
      </c>
    </row>
  </sheetData>
  <mergeCells count="25">
    <mergeCell ref="A2:I2"/>
    <mergeCell ref="A5:I5"/>
    <mergeCell ref="A7:B7"/>
    <mergeCell ref="C7:I7"/>
    <mergeCell ref="A8:B8"/>
    <mergeCell ref="C8:I8"/>
    <mergeCell ref="E15:E16"/>
    <mergeCell ref="F15:H15"/>
    <mergeCell ref="I15:I16"/>
    <mergeCell ref="A9:B9"/>
    <mergeCell ref="C9:I9"/>
    <mergeCell ref="A10:B10"/>
    <mergeCell ref="A11:B11"/>
    <mergeCell ref="F12:G12"/>
    <mergeCell ref="F13:G13"/>
    <mergeCell ref="A23:C23"/>
    <mergeCell ref="C18:D18"/>
    <mergeCell ref="A15:A16"/>
    <mergeCell ref="B15:B16"/>
    <mergeCell ref="C15:D16"/>
    <mergeCell ref="A19:C19"/>
    <mergeCell ref="A20:C20"/>
    <mergeCell ref="A21:C21"/>
    <mergeCell ref="A22:C22"/>
    <mergeCell ref="C17:D17"/>
  </mergeCells>
  <pageMargins left="0.39370078740157483" right="0.23622047244094491" top="0.23622047244094491" bottom="0.39370078740157483" header="0.15748031496062992" footer="0.27559055118110237"/>
  <pageSetup paperSize="9" scale="7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Q50"/>
  <sheetViews>
    <sheetView showZeros="0" zoomScale="75" zoomScaleNormal="75" workbookViewId="0">
      <selection sqref="A1:Q1"/>
    </sheetView>
  </sheetViews>
  <sheetFormatPr defaultColWidth="9.140625" defaultRowHeight="15"/>
  <cols>
    <col min="1" max="1" width="9" style="60" customWidth="1"/>
    <col min="2" max="2" width="11.7109375" style="60" customWidth="1"/>
    <col min="3" max="3" width="45.85546875" style="60" customWidth="1"/>
    <col min="4" max="4" width="8" style="60" customWidth="1"/>
    <col min="5" max="12" width="8.7109375" style="60" customWidth="1"/>
    <col min="13" max="17" width="12.7109375" style="60" customWidth="1"/>
    <col min="18" max="16384" width="9.140625" style="60"/>
  </cols>
  <sheetData>
    <row r="1" spans="1:17" s="59" customFormat="1" ht="15.75">
      <c r="A1" s="921" t="s">
        <v>105</v>
      </c>
      <c r="B1" s="921"/>
      <c r="C1" s="921"/>
      <c r="D1" s="921"/>
      <c r="E1" s="921"/>
      <c r="F1" s="921"/>
      <c r="G1" s="921"/>
      <c r="H1" s="921"/>
      <c r="I1" s="921"/>
      <c r="J1" s="921"/>
      <c r="K1" s="921"/>
      <c r="L1" s="921"/>
      <c r="M1" s="921"/>
      <c r="N1" s="921"/>
      <c r="O1" s="921"/>
      <c r="P1" s="921"/>
      <c r="Q1" s="921"/>
    </row>
    <row r="2" spans="1:17" s="59" customFormat="1" ht="15.75">
      <c r="A2" s="899" t="s">
        <v>1730</v>
      </c>
      <c r="B2" s="899"/>
      <c r="C2" s="899"/>
      <c r="D2" s="899"/>
      <c r="E2" s="899"/>
      <c r="F2" s="899"/>
      <c r="G2" s="899"/>
      <c r="H2" s="899"/>
      <c r="I2" s="899"/>
      <c r="J2" s="899"/>
      <c r="K2" s="899"/>
      <c r="L2" s="899"/>
      <c r="M2" s="899"/>
      <c r="N2" s="899"/>
      <c r="O2" s="899"/>
      <c r="P2" s="899"/>
      <c r="Q2" s="899"/>
    </row>
    <row r="3" spans="1:17" s="59" customFormat="1" ht="15.75" customHeight="1">
      <c r="A3" s="876" t="s">
        <v>10</v>
      </c>
      <c r="B3" s="876"/>
      <c r="C3" s="859" t="s">
        <v>117</v>
      </c>
      <c r="D3" s="859"/>
      <c r="E3" s="859"/>
      <c r="F3" s="859"/>
      <c r="G3" s="859"/>
      <c r="H3" s="859"/>
      <c r="I3" s="859"/>
      <c r="J3" s="859"/>
      <c r="K3" s="859"/>
      <c r="L3" s="859"/>
      <c r="M3" s="859"/>
      <c r="N3" s="859"/>
      <c r="O3" s="859"/>
      <c r="P3" s="859"/>
      <c r="Q3" s="859"/>
    </row>
    <row r="4" spans="1:17" s="59" customFormat="1" ht="15.75" customHeight="1">
      <c r="A4" s="876" t="s">
        <v>11</v>
      </c>
      <c r="B4" s="876"/>
      <c r="C4" s="859" t="s">
        <v>118</v>
      </c>
      <c r="D4" s="859"/>
      <c r="E4" s="859"/>
      <c r="F4" s="859"/>
      <c r="G4" s="859"/>
      <c r="H4" s="859"/>
      <c r="I4" s="859"/>
      <c r="J4" s="859"/>
      <c r="K4" s="859"/>
      <c r="L4" s="859"/>
      <c r="M4" s="859"/>
      <c r="N4" s="859"/>
      <c r="O4" s="859"/>
      <c r="P4" s="859"/>
      <c r="Q4" s="859"/>
    </row>
    <row r="5" spans="1:17" s="59" customFormat="1" ht="15.75" customHeight="1">
      <c r="A5" s="876" t="s">
        <v>12</v>
      </c>
      <c r="B5" s="876"/>
      <c r="C5" s="859" t="s">
        <v>50</v>
      </c>
      <c r="D5" s="859"/>
      <c r="E5" s="859"/>
      <c r="F5" s="859"/>
      <c r="G5" s="859"/>
      <c r="H5" s="859"/>
      <c r="I5" s="859"/>
      <c r="J5" s="859"/>
      <c r="K5" s="859"/>
      <c r="L5" s="859"/>
      <c r="M5" s="859"/>
      <c r="N5" s="859"/>
      <c r="O5" s="859"/>
      <c r="P5" s="859"/>
      <c r="Q5" s="859"/>
    </row>
    <row r="6" spans="1:17" s="59" customFormat="1" ht="15.75" customHeight="1">
      <c r="A6" s="876" t="s">
        <v>30</v>
      </c>
      <c r="B6" s="876"/>
      <c r="C6" s="874"/>
      <c r="D6" s="874"/>
      <c r="E6" s="874"/>
      <c r="F6" s="874"/>
      <c r="G6" s="874"/>
      <c r="H6" s="874"/>
      <c r="I6" s="874"/>
      <c r="J6" s="874"/>
      <c r="K6" s="874"/>
      <c r="L6" s="874"/>
      <c r="M6" s="874"/>
      <c r="N6" s="874"/>
      <c r="O6" s="874"/>
      <c r="P6" s="874"/>
      <c r="Q6" s="874"/>
    </row>
    <row r="7" spans="1:17" s="59" customFormat="1" ht="15.75" customHeight="1">
      <c r="A7" s="876" t="s">
        <v>54</v>
      </c>
      <c r="B7" s="876"/>
      <c r="C7" s="873"/>
      <c r="D7" s="873"/>
      <c r="E7" s="873"/>
      <c r="F7" s="873"/>
      <c r="G7" s="873"/>
      <c r="H7" s="873"/>
      <c r="I7" s="873"/>
      <c r="J7" s="873"/>
      <c r="K7" s="873"/>
      <c r="L7" s="873"/>
      <c r="M7" s="873"/>
      <c r="N7" s="873"/>
      <c r="O7" s="873"/>
      <c r="P7" s="873"/>
      <c r="Q7" s="873"/>
    </row>
    <row r="8" spans="1:17" s="59" customFormat="1" ht="15.75">
      <c r="A8" s="73"/>
      <c r="B8" s="73"/>
      <c r="C8" s="73"/>
      <c r="D8" s="73"/>
      <c r="E8" s="73"/>
      <c r="F8" s="73"/>
      <c r="G8" s="73"/>
      <c r="H8" s="73"/>
      <c r="I8" s="73"/>
      <c r="J8" s="73"/>
      <c r="K8" s="73"/>
      <c r="L8" s="73"/>
      <c r="M8" s="66"/>
      <c r="N8" s="66"/>
      <c r="O8" s="74"/>
      <c r="P8" s="63" t="s">
        <v>52</v>
      </c>
      <c r="Q8" s="75">
        <f>Q46</f>
        <v>0</v>
      </c>
    </row>
    <row r="9" spans="1:17" ht="15.75">
      <c r="A9" s="65"/>
      <c r="B9" s="65"/>
      <c r="C9" s="66"/>
      <c r="D9" s="66"/>
      <c r="E9" s="66"/>
      <c r="F9" s="66"/>
      <c r="G9" s="66"/>
      <c r="H9" s="66"/>
      <c r="I9" s="66"/>
      <c r="J9" s="66"/>
      <c r="K9" s="66"/>
      <c r="L9" s="66"/>
      <c r="M9" s="66"/>
      <c r="N9" s="66"/>
      <c r="O9" s="66"/>
      <c r="P9" s="66"/>
      <c r="Q9" s="66"/>
    </row>
    <row r="10" spans="1:17" ht="14.25" customHeight="1">
      <c r="A10" s="894" t="s">
        <v>14</v>
      </c>
      <c r="B10" s="894" t="s">
        <v>21</v>
      </c>
      <c r="C10" s="947" t="s">
        <v>22</v>
      </c>
      <c r="D10" s="922" t="s">
        <v>1776</v>
      </c>
      <c r="E10" s="922" t="s">
        <v>23</v>
      </c>
      <c r="F10" s="894" t="s">
        <v>24</v>
      </c>
      <c r="G10" s="944" t="s">
        <v>25</v>
      </c>
      <c r="H10" s="945"/>
      <c r="I10" s="945"/>
      <c r="J10" s="945"/>
      <c r="K10" s="945"/>
      <c r="L10" s="946"/>
      <c r="M10" s="944" t="s">
        <v>26</v>
      </c>
      <c r="N10" s="945"/>
      <c r="O10" s="945"/>
      <c r="P10" s="945"/>
      <c r="Q10" s="946"/>
    </row>
    <row r="11" spans="1:17" ht="64.5" customHeight="1">
      <c r="A11" s="895"/>
      <c r="B11" s="895"/>
      <c r="C11" s="948"/>
      <c r="D11" s="923"/>
      <c r="E11" s="923"/>
      <c r="F11" s="895"/>
      <c r="G11" s="309" t="s">
        <v>27</v>
      </c>
      <c r="H11" s="309" t="s">
        <v>37</v>
      </c>
      <c r="I11" s="309" t="s">
        <v>38</v>
      </c>
      <c r="J11" s="309" t="s">
        <v>39</v>
      </c>
      <c r="K11" s="309" t="s">
        <v>40</v>
      </c>
      <c r="L11" s="309" t="s">
        <v>41</v>
      </c>
      <c r="M11" s="309" t="s">
        <v>18</v>
      </c>
      <c r="N11" s="309" t="s">
        <v>38</v>
      </c>
      <c r="O11" s="309" t="s">
        <v>39</v>
      </c>
      <c r="P11" s="309" t="s">
        <v>40</v>
      </c>
      <c r="Q11" s="309" t="s">
        <v>42</v>
      </c>
    </row>
    <row r="12" spans="1:17">
      <c r="A12" s="115">
        <v>1</v>
      </c>
      <c r="B12" s="115">
        <v>2</v>
      </c>
      <c r="C12" s="115">
        <v>3</v>
      </c>
      <c r="D12" s="115"/>
      <c r="E12" s="115">
        <v>4</v>
      </c>
      <c r="F12" s="115">
        <v>5</v>
      </c>
      <c r="G12" s="115">
        <v>6</v>
      </c>
      <c r="H12" s="115">
        <v>7</v>
      </c>
      <c r="I12" s="115">
        <v>8</v>
      </c>
      <c r="J12" s="115">
        <v>9</v>
      </c>
      <c r="K12" s="115">
        <v>10</v>
      </c>
      <c r="L12" s="115">
        <v>11</v>
      </c>
      <c r="M12" s="115">
        <v>12</v>
      </c>
      <c r="N12" s="115">
        <v>13</v>
      </c>
      <c r="O12" s="115">
        <v>14</v>
      </c>
      <c r="P12" s="115">
        <v>15</v>
      </c>
      <c r="Q12" s="115">
        <v>16</v>
      </c>
    </row>
    <row r="13" spans="1:17" s="68" customFormat="1">
      <c r="A13" s="370"/>
      <c r="B13" s="370"/>
      <c r="C13" s="596" t="s">
        <v>1733</v>
      </c>
      <c r="D13" s="596"/>
      <c r="E13" s="597"/>
      <c r="F13" s="597"/>
      <c r="G13" s="597"/>
      <c r="H13" s="135"/>
      <c r="I13" s="136"/>
      <c r="J13" s="136"/>
      <c r="K13" s="136"/>
      <c r="L13" s="135"/>
      <c r="M13" s="135"/>
      <c r="N13" s="135"/>
      <c r="O13" s="135"/>
      <c r="P13" s="135"/>
      <c r="Q13" s="135"/>
    </row>
    <row r="14" spans="1:17" s="68" customFormat="1" ht="24">
      <c r="A14" s="385">
        <f>1</f>
        <v>1</v>
      </c>
      <c r="B14" s="385" t="s">
        <v>149</v>
      </c>
      <c r="C14" s="770" t="s">
        <v>1734</v>
      </c>
      <c r="D14" s="587" t="s">
        <v>1276</v>
      </c>
      <c r="E14" s="587" t="s">
        <v>77</v>
      </c>
      <c r="F14" s="433">
        <v>22</v>
      </c>
      <c r="G14" s="572"/>
      <c r="H14" s="146"/>
      <c r="I14" s="205"/>
      <c r="J14" s="205"/>
      <c r="K14" s="205"/>
      <c r="L14" s="146"/>
      <c r="M14" s="146"/>
      <c r="N14" s="146"/>
      <c r="O14" s="146"/>
      <c r="P14" s="146"/>
      <c r="Q14" s="146"/>
    </row>
    <row r="15" spans="1:17" s="68" customFormat="1">
      <c r="A15" s="348">
        <f>A14+1</f>
        <v>2</v>
      </c>
      <c r="B15" s="348" t="s">
        <v>149</v>
      </c>
      <c r="C15" s="771" t="s">
        <v>1735</v>
      </c>
      <c r="D15" s="590" t="s">
        <v>1736</v>
      </c>
      <c r="E15" s="590" t="s">
        <v>77</v>
      </c>
      <c r="F15" s="354">
        <v>2</v>
      </c>
      <c r="G15" s="435"/>
      <c r="H15" s="145"/>
      <c r="I15" s="204"/>
      <c r="J15" s="204"/>
      <c r="K15" s="204"/>
      <c r="L15" s="145"/>
      <c r="M15" s="145"/>
      <c r="N15" s="145"/>
      <c r="O15" s="145"/>
      <c r="P15" s="145"/>
      <c r="Q15" s="145"/>
    </row>
    <row r="16" spans="1:17" s="68" customFormat="1">
      <c r="A16" s="380">
        <f t="shared" ref="A16:A45" si="0">A15+1</f>
        <v>3</v>
      </c>
      <c r="B16" s="380" t="s">
        <v>149</v>
      </c>
      <c r="C16" s="772" t="s">
        <v>1737</v>
      </c>
      <c r="D16" s="594"/>
      <c r="E16" s="594" t="s">
        <v>1212</v>
      </c>
      <c r="F16" s="441">
        <v>1</v>
      </c>
      <c r="G16" s="485"/>
      <c r="H16" s="150"/>
      <c r="I16" s="207"/>
      <c r="J16" s="207"/>
      <c r="K16" s="207"/>
      <c r="L16" s="150"/>
      <c r="M16" s="150"/>
      <c r="N16" s="150"/>
      <c r="O16" s="150"/>
      <c r="P16" s="150"/>
      <c r="Q16" s="150"/>
    </row>
    <row r="17" spans="1:17" s="68" customFormat="1">
      <c r="A17" s="370"/>
      <c r="B17" s="370"/>
      <c r="C17" s="773" t="s">
        <v>1738</v>
      </c>
      <c r="D17" s="774"/>
      <c r="E17" s="774"/>
      <c r="F17" s="809"/>
      <c r="G17" s="774"/>
      <c r="H17" s="135"/>
      <c r="I17" s="136"/>
      <c r="J17" s="136"/>
      <c r="K17" s="136"/>
      <c r="L17" s="135"/>
      <c r="M17" s="135"/>
      <c r="N17" s="135"/>
      <c r="O17" s="135"/>
      <c r="P17" s="135"/>
      <c r="Q17" s="135"/>
    </row>
    <row r="18" spans="1:17" s="68" customFormat="1" ht="36">
      <c r="A18" s="385">
        <f>A16+1</f>
        <v>4</v>
      </c>
      <c r="B18" s="385" t="s">
        <v>149</v>
      </c>
      <c r="C18" s="775" t="s">
        <v>1739</v>
      </c>
      <c r="D18" s="776" t="s">
        <v>1740</v>
      </c>
      <c r="E18" s="776" t="s">
        <v>77</v>
      </c>
      <c r="F18" s="810">
        <v>45</v>
      </c>
      <c r="G18" s="777"/>
      <c r="H18" s="146"/>
      <c r="I18" s="205"/>
      <c r="J18" s="205"/>
      <c r="K18" s="205"/>
      <c r="L18" s="146"/>
      <c r="M18" s="146"/>
      <c r="N18" s="146"/>
      <c r="O18" s="146"/>
      <c r="P18" s="146"/>
      <c r="Q18" s="146"/>
    </row>
    <row r="19" spans="1:17" s="68" customFormat="1" ht="36">
      <c r="A19" s="348">
        <f t="shared" si="0"/>
        <v>5</v>
      </c>
      <c r="B19" s="348" t="s">
        <v>149</v>
      </c>
      <c r="C19" s="778" t="s">
        <v>1739</v>
      </c>
      <c r="D19" s="779" t="s">
        <v>1741</v>
      </c>
      <c r="E19" s="779" t="s">
        <v>77</v>
      </c>
      <c r="F19" s="811">
        <v>15</v>
      </c>
      <c r="G19" s="780"/>
      <c r="H19" s="145"/>
      <c r="I19" s="204"/>
      <c r="J19" s="204"/>
      <c r="K19" s="204"/>
      <c r="L19" s="145"/>
      <c r="M19" s="145"/>
      <c r="N19" s="145"/>
      <c r="O19" s="145"/>
      <c r="P19" s="145"/>
      <c r="Q19" s="145"/>
    </row>
    <row r="20" spans="1:17" s="68" customFormat="1">
      <c r="A20" s="348">
        <f t="shared" si="0"/>
        <v>6</v>
      </c>
      <c r="B20" s="348" t="s">
        <v>149</v>
      </c>
      <c r="C20" s="609" t="s">
        <v>1742</v>
      </c>
      <c r="D20" s="779"/>
      <c r="E20" s="779" t="s">
        <v>90</v>
      </c>
      <c r="F20" s="811">
        <v>1</v>
      </c>
      <c r="G20" s="780"/>
      <c r="H20" s="145"/>
      <c r="I20" s="204"/>
      <c r="J20" s="204"/>
      <c r="K20" s="204"/>
      <c r="L20" s="145"/>
      <c r="M20" s="145"/>
      <c r="N20" s="145"/>
      <c r="O20" s="145"/>
      <c r="P20" s="145"/>
      <c r="Q20" s="145"/>
    </row>
    <row r="21" spans="1:17" s="68" customFormat="1">
      <c r="A21" s="348">
        <f t="shared" si="0"/>
        <v>7</v>
      </c>
      <c r="B21" s="348" t="s">
        <v>149</v>
      </c>
      <c r="C21" s="609" t="s">
        <v>1743</v>
      </c>
      <c r="D21" s="781"/>
      <c r="E21" s="779" t="s">
        <v>90</v>
      </c>
      <c r="F21" s="811">
        <v>1</v>
      </c>
      <c r="G21" s="780"/>
      <c r="H21" s="145"/>
      <c r="I21" s="204"/>
      <c r="J21" s="204"/>
      <c r="K21" s="204"/>
      <c r="L21" s="145"/>
      <c r="M21" s="145"/>
      <c r="N21" s="145"/>
      <c r="O21" s="145"/>
      <c r="P21" s="145"/>
      <c r="Q21" s="145"/>
    </row>
    <row r="22" spans="1:17" s="68" customFormat="1">
      <c r="A22" s="348">
        <f t="shared" si="0"/>
        <v>8</v>
      </c>
      <c r="B22" s="348" t="s">
        <v>149</v>
      </c>
      <c r="C22" s="782" t="s">
        <v>1744</v>
      </c>
      <c r="D22" s="781"/>
      <c r="E22" s="779" t="s">
        <v>90</v>
      </c>
      <c r="F22" s="811">
        <v>7</v>
      </c>
      <c r="G22" s="780"/>
      <c r="H22" s="145"/>
      <c r="I22" s="204"/>
      <c r="J22" s="204"/>
      <c r="K22" s="204"/>
      <c r="L22" s="145"/>
      <c r="M22" s="145"/>
      <c r="N22" s="145"/>
      <c r="O22" s="145"/>
      <c r="P22" s="145"/>
      <c r="Q22" s="145"/>
    </row>
    <row r="23" spans="1:17" s="68" customFormat="1">
      <c r="A23" s="348">
        <f t="shared" si="0"/>
        <v>9</v>
      </c>
      <c r="B23" s="348" t="s">
        <v>149</v>
      </c>
      <c r="C23" s="782" t="s">
        <v>1745</v>
      </c>
      <c r="D23" s="781"/>
      <c r="E23" s="779" t="s">
        <v>90</v>
      </c>
      <c r="F23" s="811">
        <v>7</v>
      </c>
      <c r="G23" s="780"/>
      <c r="H23" s="145"/>
      <c r="I23" s="204"/>
      <c r="J23" s="204"/>
      <c r="K23" s="204"/>
      <c r="L23" s="145"/>
      <c r="M23" s="145"/>
      <c r="N23" s="145"/>
      <c r="O23" s="145"/>
      <c r="P23" s="145"/>
      <c r="Q23" s="145"/>
    </row>
    <row r="24" spans="1:17" s="68" customFormat="1" ht="48">
      <c r="A24" s="348">
        <f t="shared" si="0"/>
        <v>10</v>
      </c>
      <c r="B24" s="348" t="s">
        <v>149</v>
      </c>
      <c r="C24" s="609" t="s">
        <v>1746</v>
      </c>
      <c r="D24" s="783" t="s">
        <v>1747</v>
      </c>
      <c r="E24" s="783" t="s">
        <v>90</v>
      </c>
      <c r="F24" s="812">
        <v>1</v>
      </c>
      <c r="G24" s="783"/>
      <c r="H24" s="145"/>
      <c r="I24" s="204"/>
      <c r="J24" s="204"/>
      <c r="K24" s="204"/>
      <c r="L24" s="145"/>
      <c r="M24" s="145"/>
      <c r="N24" s="145"/>
      <c r="O24" s="145"/>
      <c r="P24" s="145"/>
      <c r="Q24" s="145"/>
    </row>
    <row r="25" spans="1:17" s="68" customFormat="1" ht="24">
      <c r="A25" s="348">
        <f t="shared" si="0"/>
        <v>11</v>
      </c>
      <c r="B25" s="348" t="s">
        <v>149</v>
      </c>
      <c r="C25" s="609" t="s">
        <v>1748</v>
      </c>
      <c r="D25" s="609"/>
      <c r="E25" s="779" t="s">
        <v>90</v>
      </c>
      <c r="F25" s="811">
        <v>1</v>
      </c>
      <c r="G25" s="780"/>
      <c r="H25" s="145"/>
      <c r="I25" s="204"/>
      <c r="J25" s="204"/>
      <c r="K25" s="204"/>
      <c r="L25" s="145"/>
      <c r="M25" s="145"/>
      <c r="N25" s="145"/>
      <c r="O25" s="145"/>
      <c r="P25" s="145"/>
      <c r="Q25" s="145"/>
    </row>
    <row r="26" spans="1:17" s="68" customFormat="1">
      <c r="A26" s="348">
        <f t="shared" si="0"/>
        <v>12</v>
      </c>
      <c r="B26" s="348" t="s">
        <v>149</v>
      </c>
      <c r="C26" s="784" t="s">
        <v>1749</v>
      </c>
      <c r="D26" s="785"/>
      <c r="E26" s="779" t="s">
        <v>1212</v>
      </c>
      <c r="F26" s="811">
        <v>1</v>
      </c>
      <c r="G26" s="779"/>
      <c r="H26" s="145"/>
      <c r="I26" s="204"/>
      <c r="J26" s="204"/>
      <c r="K26" s="204"/>
      <c r="L26" s="145"/>
      <c r="M26" s="145"/>
      <c r="N26" s="145"/>
      <c r="O26" s="145"/>
      <c r="P26" s="145"/>
      <c r="Q26" s="145"/>
    </row>
    <row r="27" spans="1:17" s="68" customFormat="1" ht="24">
      <c r="A27" s="348">
        <f t="shared" si="0"/>
        <v>13</v>
      </c>
      <c r="B27" s="348" t="s">
        <v>149</v>
      </c>
      <c r="C27" s="609" t="s">
        <v>1750</v>
      </c>
      <c r="D27" s="785"/>
      <c r="E27" s="779" t="s">
        <v>1751</v>
      </c>
      <c r="F27" s="811">
        <v>5</v>
      </c>
      <c r="G27" s="779"/>
      <c r="H27" s="145"/>
      <c r="I27" s="204"/>
      <c r="J27" s="204"/>
      <c r="K27" s="204"/>
      <c r="L27" s="145"/>
      <c r="M27" s="145"/>
      <c r="N27" s="145"/>
      <c r="O27" s="145"/>
      <c r="P27" s="145"/>
      <c r="Q27" s="145"/>
    </row>
    <row r="28" spans="1:17" s="68" customFormat="1">
      <c r="A28" s="348">
        <f t="shared" si="0"/>
        <v>14</v>
      </c>
      <c r="B28" s="348" t="s">
        <v>149</v>
      </c>
      <c r="C28" s="786" t="s">
        <v>1752</v>
      </c>
      <c r="D28" s="786"/>
      <c r="E28" s="787" t="s">
        <v>77</v>
      </c>
      <c r="F28" s="813">
        <v>60</v>
      </c>
      <c r="G28" s="788"/>
      <c r="H28" s="145"/>
      <c r="I28" s="204"/>
      <c r="J28" s="204"/>
      <c r="K28" s="204"/>
      <c r="L28" s="145"/>
      <c r="M28" s="145"/>
      <c r="N28" s="145"/>
      <c r="O28" s="145"/>
      <c r="P28" s="145"/>
      <c r="Q28" s="145"/>
    </row>
    <row r="29" spans="1:17" s="68" customFormat="1">
      <c r="A29" s="348">
        <f t="shared" si="0"/>
        <v>15</v>
      </c>
      <c r="B29" s="348" t="s">
        <v>149</v>
      </c>
      <c r="C29" s="786" t="s">
        <v>1753</v>
      </c>
      <c r="D29" s="786"/>
      <c r="E29" s="464" t="s">
        <v>1778</v>
      </c>
      <c r="F29" s="813">
        <v>1</v>
      </c>
      <c r="G29" s="788"/>
      <c r="H29" s="145"/>
      <c r="I29" s="204"/>
      <c r="J29" s="204"/>
      <c r="K29" s="204"/>
      <c r="L29" s="145"/>
      <c r="M29" s="145"/>
      <c r="N29" s="145"/>
      <c r="O29" s="145"/>
      <c r="P29" s="145"/>
      <c r="Q29" s="145"/>
    </row>
    <row r="30" spans="1:17" s="68" customFormat="1">
      <c r="A30" s="348">
        <f t="shared" si="0"/>
        <v>16</v>
      </c>
      <c r="B30" s="348" t="s">
        <v>149</v>
      </c>
      <c r="C30" s="609" t="s">
        <v>1754</v>
      </c>
      <c r="D30" s="785"/>
      <c r="E30" s="779" t="s">
        <v>1212</v>
      </c>
      <c r="F30" s="811">
        <v>1</v>
      </c>
      <c r="G30" s="779"/>
      <c r="H30" s="145"/>
      <c r="I30" s="204"/>
      <c r="J30" s="204"/>
      <c r="K30" s="204"/>
      <c r="L30" s="145"/>
      <c r="M30" s="145"/>
      <c r="N30" s="145"/>
      <c r="O30" s="145"/>
      <c r="P30" s="145"/>
      <c r="Q30" s="145"/>
    </row>
    <row r="31" spans="1:17" s="68" customFormat="1">
      <c r="A31" s="348">
        <f t="shared" si="0"/>
        <v>17</v>
      </c>
      <c r="B31" s="348" t="s">
        <v>149</v>
      </c>
      <c r="C31" s="789" t="s">
        <v>1755</v>
      </c>
      <c r="D31" s="785"/>
      <c r="E31" s="464" t="s">
        <v>1778</v>
      </c>
      <c r="F31" s="811">
        <v>2</v>
      </c>
      <c r="G31" s="779"/>
      <c r="H31" s="145"/>
      <c r="I31" s="204"/>
      <c r="J31" s="204"/>
      <c r="K31" s="204"/>
      <c r="L31" s="145"/>
      <c r="M31" s="145"/>
      <c r="N31" s="145"/>
      <c r="O31" s="145"/>
      <c r="P31" s="145"/>
      <c r="Q31" s="145"/>
    </row>
    <row r="32" spans="1:17" s="68" customFormat="1">
      <c r="A32" s="348">
        <f t="shared" si="0"/>
        <v>18</v>
      </c>
      <c r="B32" s="348" t="s">
        <v>149</v>
      </c>
      <c r="C32" s="789" t="s">
        <v>1756</v>
      </c>
      <c r="D32" s="785"/>
      <c r="E32" s="464" t="s">
        <v>82</v>
      </c>
      <c r="F32" s="813">
        <v>24</v>
      </c>
      <c r="G32" s="788"/>
      <c r="H32" s="145"/>
      <c r="I32" s="204"/>
      <c r="J32" s="204"/>
      <c r="K32" s="204"/>
      <c r="L32" s="145"/>
      <c r="M32" s="145"/>
      <c r="N32" s="145"/>
      <c r="O32" s="145"/>
      <c r="P32" s="145"/>
      <c r="Q32" s="145"/>
    </row>
    <row r="33" spans="1:17" s="68" customFormat="1">
      <c r="A33" s="348">
        <f t="shared" si="0"/>
        <v>19</v>
      </c>
      <c r="B33" s="348" t="s">
        <v>149</v>
      </c>
      <c r="C33" s="790" t="s">
        <v>1757</v>
      </c>
      <c r="D33" s="779"/>
      <c r="E33" s="464" t="s">
        <v>1751</v>
      </c>
      <c r="F33" s="811">
        <v>4</v>
      </c>
      <c r="G33" s="791"/>
      <c r="H33" s="145"/>
      <c r="I33" s="204"/>
      <c r="J33" s="204"/>
      <c r="K33" s="204"/>
      <c r="L33" s="145"/>
      <c r="M33" s="145"/>
      <c r="N33" s="145"/>
      <c r="O33" s="145"/>
      <c r="P33" s="145"/>
      <c r="Q33" s="145"/>
    </row>
    <row r="34" spans="1:17" s="68" customFormat="1">
      <c r="A34" s="380">
        <f t="shared" si="0"/>
        <v>20</v>
      </c>
      <c r="B34" s="380" t="s">
        <v>149</v>
      </c>
      <c r="C34" s="792" t="s">
        <v>1758</v>
      </c>
      <c r="D34" s="793"/>
      <c r="E34" s="492" t="s">
        <v>77</v>
      </c>
      <c r="F34" s="814">
        <v>60</v>
      </c>
      <c r="G34" s="794"/>
      <c r="H34" s="150"/>
      <c r="I34" s="207"/>
      <c r="J34" s="207"/>
      <c r="K34" s="207"/>
      <c r="L34" s="150"/>
      <c r="M34" s="150"/>
      <c r="N34" s="150"/>
      <c r="O34" s="150"/>
      <c r="P34" s="150"/>
      <c r="Q34" s="150"/>
    </row>
    <row r="35" spans="1:17" s="68" customFormat="1">
      <c r="A35" s="370"/>
      <c r="B35" s="370"/>
      <c r="C35" s="615" t="s">
        <v>1759</v>
      </c>
      <c r="D35" s="616"/>
      <c r="E35" s="616"/>
      <c r="F35" s="597"/>
      <c r="G35" s="616"/>
      <c r="H35" s="135"/>
      <c r="I35" s="136"/>
      <c r="J35" s="136"/>
      <c r="K35" s="136"/>
      <c r="L35" s="135"/>
      <c r="M35" s="135"/>
      <c r="N35" s="135"/>
      <c r="O35" s="135"/>
      <c r="P35" s="135"/>
      <c r="Q35" s="135"/>
    </row>
    <row r="36" spans="1:17" s="68" customFormat="1" ht="24">
      <c r="A36" s="385">
        <f>A34+1</f>
        <v>21</v>
      </c>
      <c r="B36" s="385" t="s">
        <v>149</v>
      </c>
      <c r="C36" s="795" t="s">
        <v>1760</v>
      </c>
      <c r="D36" s="608"/>
      <c r="E36" s="486" t="s">
        <v>1778</v>
      </c>
      <c r="F36" s="810">
        <f>3*1.5*(60)</f>
        <v>270</v>
      </c>
      <c r="G36" s="776"/>
      <c r="H36" s="146"/>
      <c r="I36" s="205"/>
      <c r="J36" s="205"/>
      <c r="K36" s="205"/>
      <c r="L36" s="146"/>
      <c r="M36" s="146"/>
      <c r="N36" s="146"/>
      <c r="O36" s="146"/>
      <c r="P36" s="146"/>
      <c r="Q36" s="146"/>
    </row>
    <row r="37" spans="1:17" s="68" customFormat="1">
      <c r="A37" s="348">
        <f t="shared" si="0"/>
        <v>22</v>
      </c>
      <c r="B37" s="348" t="s">
        <v>149</v>
      </c>
      <c r="C37" s="796" t="s">
        <v>97</v>
      </c>
      <c r="D37" s="609"/>
      <c r="E37" s="464" t="s">
        <v>1778</v>
      </c>
      <c r="F37" s="379">
        <f>F36*0.05</f>
        <v>13.5</v>
      </c>
      <c r="G37" s="559"/>
      <c r="H37" s="145"/>
      <c r="I37" s="204"/>
      <c r="J37" s="204"/>
      <c r="K37" s="204"/>
      <c r="L37" s="145"/>
      <c r="M37" s="145"/>
      <c r="N37" s="145"/>
      <c r="O37" s="145"/>
      <c r="P37" s="145"/>
      <c r="Q37" s="145"/>
    </row>
    <row r="38" spans="1:17" s="68" customFormat="1">
      <c r="A38" s="348">
        <f t="shared" si="0"/>
        <v>23</v>
      </c>
      <c r="B38" s="348" t="s">
        <v>149</v>
      </c>
      <c r="C38" s="796" t="s">
        <v>1761</v>
      </c>
      <c r="D38" s="609"/>
      <c r="E38" s="464" t="s">
        <v>1778</v>
      </c>
      <c r="F38" s="811">
        <f>1.5*0.15*F34</f>
        <v>13.499999999999998</v>
      </c>
      <c r="G38" s="779"/>
      <c r="H38" s="145"/>
      <c r="I38" s="204"/>
      <c r="J38" s="204"/>
      <c r="K38" s="204"/>
      <c r="L38" s="145"/>
      <c r="M38" s="145"/>
      <c r="N38" s="145"/>
      <c r="O38" s="145"/>
      <c r="P38" s="145"/>
      <c r="Q38" s="145"/>
    </row>
    <row r="39" spans="1:17" s="68" customFormat="1">
      <c r="A39" s="348">
        <f t="shared" si="0"/>
        <v>24</v>
      </c>
      <c r="B39" s="348" t="s">
        <v>149</v>
      </c>
      <c r="C39" s="796" t="s">
        <v>1762</v>
      </c>
      <c r="D39" s="609"/>
      <c r="E39" s="464" t="s">
        <v>1778</v>
      </c>
      <c r="F39" s="811">
        <v>80</v>
      </c>
      <c r="G39" s="779"/>
      <c r="H39" s="145"/>
      <c r="I39" s="204"/>
      <c r="J39" s="204"/>
      <c r="K39" s="204"/>
      <c r="L39" s="145"/>
      <c r="M39" s="145"/>
      <c r="N39" s="145"/>
      <c r="O39" s="145"/>
      <c r="P39" s="145"/>
      <c r="Q39" s="145"/>
    </row>
    <row r="40" spans="1:17" s="68" customFormat="1">
      <c r="A40" s="348">
        <f t="shared" si="0"/>
        <v>25</v>
      </c>
      <c r="B40" s="348" t="s">
        <v>149</v>
      </c>
      <c r="C40" s="796" t="s">
        <v>1763</v>
      </c>
      <c r="D40" s="609"/>
      <c r="E40" s="464" t="s">
        <v>1778</v>
      </c>
      <c r="F40" s="811">
        <f>F36+F37-F38-F39</f>
        <v>190</v>
      </c>
      <c r="G40" s="780"/>
      <c r="H40" s="145"/>
      <c r="I40" s="204"/>
      <c r="J40" s="204"/>
      <c r="K40" s="204"/>
      <c r="L40" s="145"/>
      <c r="M40" s="145"/>
      <c r="N40" s="145"/>
      <c r="O40" s="145"/>
      <c r="P40" s="145"/>
      <c r="Q40" s="145"/>
    </row>
    <row r="41" spans="1:17" s="68" customFormat="1">
      <c r="A41" s="380">
        <f t="shared" si="0"/>
        <v>26</v>
      </c>
      <c r="B41" s="380" t="s">
        <v>149</v>
      </c>
      <c r="C41" s="797" t="s">
        <v>1764</v>
      </c>
      <c r="D41" s="798"/>
      <c r="E41" s="492" t="s">
        <v>1778</v>
      </c>
      <c r="F41" s="815">
        <f>F38+F39</f>
        <v>93.5</v>
      </c>
      <c r="G41" s="799"/>
      <c r="H41" s="150"/>
      <c r="I41" s="207"/>
      <c r="J41" s="207"/>
      <c r="K41" s="207"/>
      <c r="L41" s="150"/>
      <c r="M41" s="150"/>
      <c r="N41" s="150"/>
      <c r="O41" s="150"/>
      <c r="P41" s="150"/>
      <c r="Q41" s="150"/>
    </row>
    <row r="42" spans="1:17" s="68" customFormat="1">
      <c r="A42" s="370"/>
      <c r="B42" s="370"/>
      <c r="C42" s="800" t="s">
        <v>1272</v>
      </c>
      <c r="D42" s="801"/>
      <c r="E42" s="801"/>
      <c r="F42" s="816"/>
      <c r="G42" s="801"/>
      <c r="H42" s="135"/>
      <c r="I42" s="136"/>
      <c r="J42" s="136"/>
      <c r="K42" s="136"/>
      <c r="L42" s="135"/>
      <c r="M42" s="135"/>
      <c r="N42" s="135"/>
      <c r="O42" s="135"/>
      <c r="P42" s="135"/>
      <c r="Q42" s="135"/>
    </row>
    <row r="43" spans="1:17" s="68" customFormat="1" ht="48">
      <c r="A43" s="385">
        <f>A41+1</f>
        <v>27</v>
      </c>
      <c r="B43" s="385" t="s">
        <v>149</v>
      </c>
      <c r="C43" s="802" t="s">
        <v>1765</v>
      </c>
      <c r="D43" s="803" t="s">
        <v>1766</v>
      </c>
      <c r="E43" s="804" t="s">
        <v>90</v>
      </c>
      <c r="F43" s="817">
        <v>1</v>
      </c>
      <c r="G43" s="805"/>
      <c r="H43" s="146"/>
      <c r="I43" s="205"/>
      <c r="J43" s="205"/>
      <c r="K43" s="205"/>
      <c r="L43" s="146"/>
      <c r="M43" s="146"/>
      <c r="N43" s="146"/>
      <c r="O43" s="146"/>
      <c r="P43" s="146"/>
      <c r="Q43" s="146"/>
    </row>
    <row r="44" spans="1:17" s="68" customFormat="1" ht="36">
      <c r="A44" s="348">
        <f t="shared" si="0"/>
        <v>28</v>
      </c>
      <c r="B44" s="348" t="s">
        <v>149</v>
      </c>
      <c r="C44" s="778" t="s">
        <v>1739</v>
      </c>
      <c r="D44" s="785" t="s">
        <v>1280</v>
      </c>
      <c r="E44" s="464" t="s">
        <v>77</v>
      </c>
      <c r="F44" s="812">
        <v>3</v>
      </c>
      <c r="G44" s="783"/>
      <c r="H44" s="145"/>
      <c r="I44" s="204"/>
      <c r="J44" s="204"/>
      <c r="K44" s="204"/>
      <c r="L44" s="145"/>
      <c r="M44" s="145"/>
      <c r="N44" s="145"/>
      <c r="O44" s="145"/>
      <c r="P44" s="145"/>
      <c r="Q44" s="145"/>
    </row>
    <row r="45" spans="1:17" s="68" customFormat="1">
      <c r="A45" s="366">
        <f t="shared" si="0"/>
        <v>29</v>
      </c>
      <c r="B45" s="366" t="s">
        <v>149</v>
      </c>
      <c r="C45" s="806" t="s">
        <v>1767</v>
      </c>
      <c r="D45" s="807"/>
      <c r="E45" s="463" t="s">
        <v>1212</v>
      </c>
      <c r="F45" s="818">
        <v>1</v>
      </c>
      <c r="G45" s="808"/>
      <c r="H45" s="146"/>
      <c r="I45" s="205"/>
      <c r="J45" s="205"/>
      <c r="K45" s="205"/>
      <c r="L45" s="146"/>
      <c r="M45" s="146"/>
      <c r="N45" s="146"/>
      <c r="O45" s="146"/>
      <c r="P45" s="146"/>
      <c r="Q45" s="146"/>
    </row>
    <row r="46" spans="1:17">
      <c r="A46" s="890" t="s">
        <v>177</v>
      </c>
      <c r="B46" s="890"/>
      <c r="C46" s="890"/>
      <c r="D46" s="890"/>
      <c r="E46" s="890"/>
      <c r="F46" s="890"/>
      <c r="G46" s="890"/>
      <c r="H46" s="890"/>
      <c r="I46" s="890"/>
      <c r="J46" s="890"/>
      <c r="K46" s="890"/>
      <c r="L46" s="890"/>
      <c r="M46" s="131">
        <f>SUM(M14:M45)</f>
        <v>0</v>
      </c>
      <c r="N46" s="131">
        <f>SUM(N14:N45)</f>
        <v>0</v>
      </c>
      <c r="O46" s="131">
        <f>SUM(O14:O45)</f>
        <v>0</v>
      </c>
      <c r="P46" s="131">
        <f>SUM(P14:P45)</f>
        <v>0</v>
      </c>
      <c r="Q46" s="131">
        <f>SUM(Q14:Q45)</f>
        <v>0</v>
      </c>
    </row>
    <row r="47" spans="1:17" s="50" customFormat="1" collapsed="1">
      <c r="A47" s="885" t="s">
        <v>36</v>
      </c>
      <c r="B47" s="885"/>
      <c r="C47" s="1"/>
      <c r="D47" s="1"/>
      <c r="E47" s="1"/>
      <c r="F47" s="1"/>
      <c r="G47" s="1"/>
      <c r="H47" s="1"/>
      <c r="I47" s="1"/>
      <c r="J47" s="1"/>
      <c r="K47" s="1"/>
      <c r="L47" s="1"/>
      <c r="M47" s="1"/>
      <c r="N47" s="1"/>
      <c r="O47" s="1"/>
      <c r="P47" s="1"/>
      <c r="Q47" s="1"/>
    </row>
    <row r="48" spans="1:17" s="50" customFormat="1" ht="15" customHeight="1">
      <c r="A48" s="886" t="s">
        <v>56</v>
      </c>
      <c r="B48" s="886"/>
      <c r="C48" s="886"/>
      <c r="D48" s="886"/>
      <c r="E48" s="886"/>
      <c r="F48" s="886"/>
      <c r="G48" s="886"/>
      <c r="H48" s="886"/>
      <c r="I48" s="886"/>
      <c r="J48" s="886"/>
      <c r="K48" s="886"/>
      <c r="L48" s="886"/>
      <c r="M48" s="886"/>
      <c r="N48" s="886"/>
      <c r="O48" s="886"/>
      <c r="P48" s="886"/>
      <c r="Q48" s="886"/>
    </row>
    <row r="49" spans="1:17" s="50" customFormat="1" collapsed="1">
      <c r="A49" s="910"/>
      <c r="B49" s="910"/>
    </row>
    <row r="50" spans="1:17">
      <c r="A50" s="906" t="s">
        <v>7</v>
      </c>
      <c r="B50" s="906"/>
      <c r="C50" s="307"/>
      <c r="D50" s="307"/>
      <c r="E50" s="50"/>
      <c r="F50" s="50"/>
      <c r="G50" s="50"/>
      <c r="H50" s="50"/>
      <c r="I50" s="50"/>
      <c r="J50" s="50"/>
      <c r="K50" s="50"/>
      <c r="L50" s="50"/>
      <c r="M50" s="307"/>
      <c r="N50" s="81"/>
      <c r="O50" s="81"/>
      <c r="P50" s="50"/>
      <c r="Q50" s="50"/>
    </row>
  </sheetData>
  <mergeCells count="25">
    <mergeCell ref="A1:Q1"/>
    <mergeCell ref="A3:B3"/>
    <mergeCell ref="C3:Q3"/>
    <mergeCell ref="A4:B4"/>
    <mergeCell ref="C4:Q4"/>
    <mergeCell ref="A2:Q2"/>
    <mergeCell ref="A5:B5"/>
    <mergeCell ref="C5:Q5"/>
    <mergeCell ref="A6:B6"/>
    <mergeCell ref="C6:Q6"/>
    <mergeCell ref="A7:B7"/>
    <mergeCell ref="C7:Q7"/>
    <mergeCell ref="A49:B49"/>
    <mergeCell ref="A50:B50"/>
    <mergeCell ref="M10:Q10"/>
    <mergeCell ref="A46:L46"/>
    <mergeCell ref="A47:B47"/>
    <mergeCell ref="A48:Q48"/>
    <mergeCell ref="A10:A11"/>
    <mergeCell ref="B10:B11"/>
    <mergeCell ref="C10:C11"/>
    <mergeCell ref="E10:E11"/>
    <mergeCell ref="F10:F11"/>
    <mergeCell ref="G10:L10"/>
    <mergeCell ref="D10:D11"/>
  </mergeCells>
  <conditionalFormatting sqref="E37:F38">
    <cfRule type="cellIs" dxfId="0" priority="2" stopIfTrue="1" operator="equal">
      <formula>0</formula>
    </cfRule>
  </conditionalFormatting>
  <pageMargins left="0.23622047244094491" right="0.23622047244094491" top="0.74803149606299213" bottom="0.74803149606299213" header="0.31496062992125984" footer="0.31496062992125984"/>
  <pageSetup paperSize="9" scale="72"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Q33"/>
  <sheetViews>
    <sheetView zoomScale="75" zoomScaleNormal="75" workbookViewId="0">
      <selection sqref="A1:P1"/>
    </sheetView>
  </sheetViews>
  <sheetFormatPr defaultColWidth="9.140625" defaultRowHeight="15"/>
  <cols>
    <col min="1" max="1" width="8.85546875" style="60" customWidth="1"/>
    <col min="2" max="2" width="11.7109375" style="60" customWidth="1"/>
    <col min="3" max="3" width="45.85546875" style="60" customWidth="1"/>
    <col min="4" max="11" width="8.7109375" style="60" customWidth="1"/>
    <col min="12" max="16" width="12.7109375" style="60" customWidth="1"/>
    <col min="17" max="16384" width="9.140625" style="60"/>
  </cols>
  <sheetData>
    <row r="1" spans="1:17" s="59" customFormat="1" ht="15.75">
      <c r="A1" s="921" t="s">
        <v>1768</v>
      </c>
      <c r="B1" s="921"/>
      <c r="C1" s="921"/>
      <c r="D1" s="921"/>
      <c r="E1" s="921"/>
      <c r="F1" s="921"/>
      <c r="G1" s="921"/>
      <c r="H1" s="921"/>
      <c r="I1" s="921"/>
      <c r="J1" s="921"/>
      <c r="K1" s="921"/>
      <c r="L1" s="921"/>
      <c r="M1" s="921"/>
      <c r="N1" s="921"/>
      <c r="O1" s="921"/>
      <c r="P1" s="921"/>
    </row>
    <row r="2" spans="1:17" s="59" customFormat="1" ht="15.6" customHeight="1">
      <c r="A2" s="949" t="s">
        <v>1732</v>
      </c>
      <c r="B2" s="949"/>
      <c r="C2" s="949"/>
      <c r="D2" s="949"/>
      <c r="E2" s="949"/>
      <c r="F2" s="949"/>
      <c r="G2" s="949"/>
      <c r="H2" s="949"/>
      <c r="I2" s="949"/>
      <c r="J2" s="949"/>
      <c r="K2" s="949"/>
      <c r="L2" s="949"/>
      <c r="M2" s="949"/>
      <c r="N2" s="949"/>
      <c r="O2" s="949"/>
      <c r="P2" s="949"/>
      <c r="Q2" s="288"/>
    </row>
    <row r="3" spans="1:17" s="59" customFormat="1" ht="15.75" customHeight="1">
      <c r="A3" s="876" t="s">
        <v>10</v>
      </c>
      <c r="B3" s="876"/>
      <c r="C3" s="859" t="s">
        <v>117</v>
      </c>
      <c r="D3" s="859"/>
      <c r="E3" s="859"/>
      <c r="F3" s="859"/>
      <c r="G3" s="859"/>
      <c r="H3" s="859"/>
      <c r="I3" s="859"/>
      <c r="J3" s="859"/>
      <c r="K3" s="859"/>
      <c r="L3" s="859"/>
      <c r="M3" s="859"/>
      <c r="N3" s="859"/>
      <c r="O3" s="859"/>
      <c r="P3" s="859"/>
    </row>
    <row r="4" spans="1:17" s="59" customFormat="1" ht="15.75" customHeight="1">
      <c r="A4" s="876" t="s">
        <v>11</v>
      </c>
      <c r="B4" s="876"/>
      <c r="C4" s="859" t="s">
        <v>118</v>
      </c>
      <c r="D4" s="859"/>
      <c r="E4" s="859"/>
      <c r="F4" s="859"/>
      <c r="G4" s="859"/>
      <c r="H4" s="859"/>
      <c r="I4" s="859"/>
      <c r="J4" s="859"/>
      <c r="K4" s="859"/>
      <c r="L4" s="859"/>
      <c r="M4" s="859"/>
      <c r="N4" s="859"/>
      <c r="O4" s="859"/>
      <c r="P4" s="859"/>
    </row>
    <row r="5" spans="1:17" s="59" customFormat="1" ht="15.75" customHeight="1">
      <c r="A5" s="876" t="s">
        <v>12</v>
      </c>
      <c r="B5" s="876"/>
      <c r="C5" s="859" t="s">
        <v>50</v>
      </c>
      <c r="D5" s="859"/>
      <c r="E5" s="859"/>
      <c r="F5" s="859"/>
      <c r="G5" s="859"/>
      <c r="H5" s="859"/>
      <c r="I5" s="859"/>
      <c r="J5" s="859"/>
      <c r="K5" s="859"/>
      <c r="L5" s="859"/>
      <c r="M5" s="859"/>
      <c r="N5" s="859"/>
      <c r="O5" s="859"/>
      <c r="P5" s="859"/>
    </row>
    <row r="6" spans="1:17" s="59" customFormat="1" ht="15.75" customHeight="1">
      <c r="A6" s="876" t="s">
        <v>30</v>
      </c>
      <c r="B6" s="876"/>
      <c r="C6" s="874"/>
      <c r="D6" s="874"/>
      <c r="E6" s="874"/>
      <c r="F6" s="874"/>
      <c r="G6" s="874"/>
      <c r="H6" s="874"/>
      <c r="I6" s="874"/>
      <c r="J6" s="874"/>
      <c r="K6" s="874"/>
      <c r="L6" s="874"/>
      <c r="M6" s="874"/>
      <c r="N6" s="874"/>
      <c r="O6" s="874"/>
      <c r="P6" s="874"/>
    </row>
    <row r="7" spans="1:17" s="59" customFormat="1" ht="15.75" customHeight="1">
      <c r="A7" s="876" t="s">
        <v>54</v>
      </c>
      <c r="B7" s="876"/>
      <c r="C7" s="873"/>
      <c r="D7" s="873"/>
      <c r="E7" s="873"/>
      <c r="F7" s="873"/>
      <c r="G7" s="873"/>
      <c r="H7" s="873"/>
      <c r="I7" s="873"/>
      <c r="J7" s="873"/>
      <c r="K7" s="873"/>
      <c r="L7" s="873"/>
      <c r="M7" s="873"/>
      <c r="N7" s="873"/>
      <c r="O7" s="873"/>
      <c r="P7" s="873"/>
    </row>
    <row r="8" spans="1:17" s="59" customFormat="1" ht="15.75">
      <c r="A8" s="73"/>
      <c r="B8" s="73"/>
      <c r="C8" s="73"/>
      <c r="D8" s="73"/>
      <c r="E8" s="73"/>
      <c r="F8" s="73"/>
      <c r="G8" s="73"/>
      <c r="H8" s="73"/>
      <c r="I8" s="73"/>
      <c r="J8" s="73"/>
      <c r="K8" s="73"/>
      <c r="L8" s="66"/>
      <c r="M8" s="66"/>
      <c r="N8" s="74"/>
      <c r="O8" s="63" t="s">
        <v>52</v>
      </c>
      <c r="P8" s="75">
        <f>P29</f>
        <v>0</v>
      </c>
    </row>
    <row r="9" spans="1:17" ht="15.75">
      <c r="A9" s="65"/>
      <c r="B9" s="65"/>
      <c r="C9" s="66"/>
      <c r="D9" s="66"/>
      <c r="E9" s="66"/>
      <c r="F9" s="66"/>
      <c r="G9" s="66"/>
      <c r="H9" s="66"/>
      <c r="I9" s="66"/>
      <c r="J9" s="66"/>
      <c r="K9" s="66"/>
      <c r="L9" s="66"/>
      <c r="M9" s="66"/>
      <c r="N9" s="66"/>
      <c r="O9" s="66"/>
      <c r="P9" s="66"/>
    </row>
    <row r="10" spans="1:17" ht="14.25" customHeight="1">
      <c r="A10" s="894" t="s">
        <v>14</v>
      </c>
      <c r="B10" s="894" t="s">
        <v>21</v>
      </c>
      <c r="C10" s="947" t="s">
        <v>22</v>
      </c>
      <c r="D10" s="922" t="s">
        <v>23</v>
      </c>
      <c r="E10" s="894" t="s">
        <v>24</v>
      </c>
      <c r="F10" s="944" t="s">
        <v>25</v>
      </c>
      <c r="G10" s="945"/>
      <c r="H10" s="945"/>
      <c r="I10" s="945"/>
      <c r="J10" s="945"/>
      <c r="K10" s="946"/>
      <c r="L10" s="944" t="s">
        <v>26</v>
      </c>
      <c r="M10" s="945"/>
      <c r="N10" s="945"/>
      <c r="O10" s="945"/>
      <c r="P10" s="946"/>
    </row>
    <row r="11" spans="1:17" ht="64.5" customHeight="1">
      <c r="A11" s="895"/>
      <c r="B11" s="895"/>
      <c r="C11" s="948"/>
      <c r="D11" s="923"/>
      <c r="E11" s="895"/>
      <c r="F11" s="309" t="s">
        <v>27</v>
      </c>
      <c r="G11" s="309" t="s">
        <v>37</v>
      </c>
      <c r="H11" s="309" t="s">
        <v>38</v>
      </c>
      <c r="I11" s="309" t="s">
        <v>39</v>
      </c>
      <c r="J11" s="309" t="s">
        <v>40</v>
      </c>
      <c r="K11" s="309" t="s">
        <v>41</v>
      </c>
      <c r="L11" s="309" t="s">
        <v>18</v>
      </c>
      <c r="M11" s="309" t="s">
        <v>38</v>
      </c>
      <c r="N11" s="309" t="s">
        <v>39</v>
      </c>
      <c r="O11" s="309" t="s">
        <v>40</v>
      </c>
      <c r="P11" s="309" t="s">
        <v>42</v>
      </c>
    </row>
    <row r="12" spans="1:17">
      <c r="A12" s="115">
        <v>1</v>
      </c>
      <c r="B12" s="115">
        <v>2</v>
      </c>
      <c r="C12" s="115">
        <v>3</v>
      </c>
      <c r="D12" s="115">
        <v>4</v>
      </c>
      <c r="E12" s="115">
        <v>5</v>
      </c>
      <c r="F12" s="115">
        <v>6</v>
      </c>
      <c r="G12" s="115">
        <v>7</v>
      </c>
      <c r="H12" s="115">
        <v>8</v>
      </c>
      <c r="I12" s="115">
        <v>9</v>
      </c>
      <c r="J12" s="115">
        <v>10</v>
      </c>
      <c r="K12" s="115">
        <v>11</v>
      </c>
      <c r="L12" s="115">
        <v>12</v>
      </c>
      <c r="M12" s="115">
        <v>13</v>
      </c>
      <c r="N12" s="115">
        <v>14</v>
      </c>
      <c r="O12" s="115">
        <v>15</v>
      </c>
      <c r="P12" s="115">
        <v>16</v>
      </c>
    </row>
    <row r="13" spans="1:17" s="68" customFormat="1">
      <c r="A13" s="370"/>
      <c r="B13" s="370"/>
      <c r="C13" s="596" t="s">
        <v>1732</v>
      </c>
      <c r="D13" s="597"/>
      <c r="E13" s="597"/>
      <c r="F13" s="135"/>
      <c r="G13" s="135"/>
      <c r="H13" s="136"/>
      <c r="I13" s="136"/>
      <c r="J13" s="136"/>
      <c r="K13" s="135"/>
      <c r="L13" s="135"/>
      <c r="M13" s="135"/>
      <c r="N13" s="135"/>
      <c r="O13" s="135"/>
      <c r="P13" s="135"/>
    </row>
    <row r="14" spans="1:17" s="68" customFormat="1">
      <c r="A14" s="387">
        <v>1</v>
      </c>
      <c r="B14" s="387" t="s">
        <v>149</v>
      </c>
      <c r="C14" s="567" t="s">
        <v>1376</v>
      </c>
      <c r="D14" s="432" t="s">
        <v>93</v>
      </c>
      <c r="E14" s="388">
        <v>10</v>
      </c>
      <c r="F14" s="146"/>
      <c r="G14" s="146"/>
      <c r="H14" s="205"/>
      <c r="I14" s="205"/>
      <c r="J14" s="205"/>
      <c r="K14" s="146"/>
      <c r="L14" s="146"/>
      <c r="M14" s="146"/>
      <c r="N14" s="146"/>
      <c r="O14" s="146"/>
      <c r="P14" s="146"/>
    </row>
    <row r="15" spans="1:17" s="68" customFormat="1">
      <c r="A15" s="378">
        <f>A14+1</f>
        <v>2</v>
      </c>
      <c r="B15" s="378" t="s">
        <v>149</v>
      </c>
      <c r="C15" s="561" t="s">
        <v>1769</v>
      </c>
      <c r="D15" s="434" t="s">
        <v>93</v>
      </c>
      <c r="E15" s="379">
        <v>4</v>
      </c>
      <c r="F15" s="145"/>
      <c r="G15" s="145"/>
      <c r="H15" s="204"/>
      <c r="I15" s="204"/>
      <c r="J15" s="204"/>
      <c r="K15" s="145"/>
      <c r="L15" s="145"/>
      <c r="M15" s="145"/>
      <c r="N15" s="145"/>
      <c r="O15" s="145"/>
      <c r="P15" s="145"/>
    </row>
    <row r="16" spans="1:17" s="68" customFormat="1">
      <c r="A16" s="378">
        <f t="shared" ref="A16:A28" si="0">A15+1</f>
        <v>3</v>
      </c>
      <c r="B16" s="378" t="s">
        <v>149</v>
      </c>
      <c r="C16" s="636" t="s">
        <v>1770</v>
      </c>
      <c r="D16" s="378" t="s">
        <v>77</v>
      </c>
      <c r="E16" s="354">
        <v>60</v>
      </c>
      <c r="F16" s="145"/>
      <c r="G16" s="145"/>
      <c r="H16" s="204"/>
      <c r="I16" s="204"/>
      <c r="J16" s="204"/>
      <c r="K16" s="145"/>
      <c r="L16" s="145"/>
      <c r="M16" s="145"/>
      <c r="N16" s="145"/>
      <c r="O16" s="145"/>
      <c r="P16" s="145"/>
    </row>
    <row r="17" spans="1:16" s="68" customFormat="1">
      <c r="A17" s="378">
        <f t="shared" si="0"/>
        <v>4</v>
      </c>
      <c r="B17" s="378" t="s">
        <v>149</v>
      </c>
      <c r="C17" s="636" t="s">
        <v>1381</v>
      </c>
      <c r="D17" s="378" t="s">
        <v>77</v>
      </c>
      <c r="E17" s="354">
        <v>60</v>
      </c>
      <c r="F17" s="145"/>
      <c r="G17" s="145"/>
      <c r="H17" s="204"/>
      <c r="I17" s="204"/>
      <c r="J17" s="204"/>
      <c r="K17" s="145"/>
      <c r="L17" s="145"/>
      <c r="M17" s="145"/>
      <c r="N17" s="145"/>
      <c r="O17" s="145"/>
      <c r="P17" s="145"/>
    </row>
    <row r="18" spans="1:16" s="68" customFormat="1" ht="24">
      <c r="A18" s="378">
        <f t="shared" si="0"/>
        <v>5</v>
      </c>
      <c r="B18" s="378" t="s">
        <v>149</v>
      </c>
      <c r="C18" s="561" t="s">
        <v>1771</v>
      </c>
      <c r="D18" s="378" t="s">
        <v>82</v>
      </c>
      <c r="E18" s="354">
        <v>25</v>
      </c>
      <c r="F18" s="145"/>
      <c r="G18" s="145"/>
      <c r="H18" s="204"/>
      <c r="I18" s="204"/>
      <c r="J18" s="204"/>
      <c r="K18" s="145"/>
      <c r="L18" s="145"/>
      <c r="M18" s="145"/>
      <c r="N18" s="145"/>
      <c r="O18" s="145"/>
      <c r="P18" s="145"/>
    </row>
    <row r="19" spans="1:16" s="68" customFormat="1" ht="36">
      <c r="A19" s="378">
        <f t="shared" si="0"/>
        <v>6</v>
      </c>
      <c r="B19" s="378" t="s">
        <v>149</v>
      </c>
      <c r="C19" s="561" t="s">
        <v>1772</v>
      </c>
      <c r="D19" s="378" t="s">
        <v>77</v>
      </c>
      <c r="E19" s="354">
        <v>60</v>
      </c>
      <c r="F19" s="145"/>
      <c r="G19" s="145"/>
      <c r="H19" s="204"/>
      <c r="I19" s="204"/>
      <c r="J19" s="204"/>
      <c r="K19" s="145"/>
      <c r="L19" s="145"/>
      <c r="M19" s="145"/>
      <c r="N19" s="145"/>
      <c r="O19" s="145"/>
      <c r="P19" s="145"/>
    </row>
    <row r="20" spans="1:16" s="68" customFormat="1" ht="36">
      <c r="A20" s="378">
        <f t="shared" si="0"/>
        <v>7</v>
      </c>
      <c r="B20" s="378" t="s">
        <v>149</v>
      </c>
      <c r="C20" s="561" t="s">
        <v>1773</v>
      </c>
      <c r="D20" s="378" t="s">
        <v>77</v>
      </c>
      <c r="E20" s="354">
        <v>60</v>
      </c>
      <c r="F20" s="145"/>
      <c r="G20" s="145"/>
      <c r="H20" s="204"/>
      <c r="I20" s="204"/>
      <c r="J20" s="204"/>
      <c r="K20" s="145"/>
      <c r="L20" s="145"/>
      <c r="M20" s="145"/>
      <c r="N20" s="145"/>
      <c r="O20" s="145"/>
      <c r="P20" s="145"/>
    </row>
    <row r="21" spans="1:16" s="68" customFormat="1" ht="24">
      <c r="A21" s="378">
        <f t="shared" si="0"/>
        <v>8</v>
      </c>
      <c r="B21" s="378" t="s">
        <v>149</v>
      </c>
      <c r="C21" s="561" t="s">
        <v>1774</v>
      </c>
      <c r="D21" s="378" t="s">
        <v>85</v>
      </c>
      <c r="E21" s="354">
        <v>12</v>
      </c>
      <c r="F21" s="145"/>
      <c r="G21" s="145"/>
      <c r="H21" s="204"/>
      <c r="I21" s="204"/>
      <c r="J21" s="204"/>
      <c r="K21" s="145"/>
      <c r="L21" s="145"/>
      <c r="M21" s="145"/>
      <c r="N21" s="145"/>
      <c r="O21" s="145"/>
      <c r="P21" s="145"/>
    </row>
    <row r="22" spans="1:16" s="68" customFormat="1">
      <c r="A22" s="378">
        <f t="shared" si="0"/>
        <v>9</v>
      </c>
      <c r="B22" s="378" t="s">
        <v>149</v>
      </c>
      <c r="C22" s="542" t="s">
        <v>88</v>
      </c>
      <c r="D22" s="566" t="s">
        <v>100</v>
      </c>
      <c r="E22" s="582">
        <v>1</v>
      </c>
      <c r="F22" s="145"/>
      <c r="G22" s="145"/>
      <c r="H22" s="204"/>
      <c r="I22" s="204"/>
      <c r="J22" s="204"/>
      <c r="K22" s="145"/>
      <c r="L22" s="145"/>
      <c r="M22" s="145"/>
      <c r="N22" s="145"/>
      <c r="O22" s="145"/>
      <c r="P22" s="145"/>
    </row>
    <row r="23" spans="1:16" s="68" customFormat="1">
      <c r="A23" s="378">
        <f t="shared" si="0"/>
        <v>10</v>
      </c>
      <c r="B23" s="378" t="s">
        <v>149</v>
      </c>
      <c r="C23" s="377" t="s">
        <v>1336</v>
      </c>
      <c r="D23" s="566" t="s">
        <v>100</v>
      </c>
      <c r="E23" s="582">
        <v>1</v>
      </c>
      <c r="F23" s="145"/>
      <c r="G23" s="145"/>
      <c r="H23" s="204"/>
      <c r="I23" s="204"/>
      <c r="J23" s="204"/>
      <c r="K23" s="145"/>
      <c r="L23" s="145"/>
      <c r="M23" s="145"/>
      <c r="N23" s="145"/>
      <c r="O23" s="145"/>
      <c r="P23" s="145"/>
    </row>
    <row r="24" spans="1:16" s="68" customFormat="1">
      <c r="A24" s="378">
        <f t="shared" si="0"/>
        <v>11</v>
      </c>
      <c r="B24" s="378" t="s">
        <v>149</v>
      </c>
      <c r="C24" s="377" t="s">
        <v>981</v>
      </c>
      <c r="D24" s="566" t="s">
        <v>100</v>
      </c>
      <c r="E24" s="582">
        <v>1</v>
      </c>
      <c r="F24" s="145"/>
      <c r="G24" s="145"/>
      <c r="H24" s="204"/>
      <c r="I24" s="204"/>
      <c r="J24" s="204"/>
      <c r="K24" s="145"/>
      <c r="L24" s="145"/>
      <c r="M24" s="145"/>
      <c r="N24" s="145"/>
      <c r="O24" s="145"/>
      <c r="P24" s="145"/>
    </row>
    <row r="25" spans="1:16" s="68" customFormat="1" ht="24.75">
      <c r="A25" s="378">
        <f t="shared" si="0"/>
        <v>12</v>
      </c>
      <c r="B25" s="378" t="s">
        <v>149</v>
      </c>
      <c r="C25" s="642" t="s">
        <v>1385</v>
      </c>
      <c r="D25" s="555" t="s">
        <v>100</v>
      </c>
      <c r="E25" s="354">
        <v>1</v>
      </c>
      <c r="F25" s="145"/>
      <c r="G25" s="145"/>
      <c r="H25" s="204"/>
      <c r="I25" s="204"/>
      <c r="J25" s="204"/>
      <c r="K25" s="145"/>
      <c r="L25" s="145"/>
      <c r="M25" s="145"/>
      <c r="N25" s="145"/>
      <c r="O25" s="145"/>
      <c r="P25" s="145"/>
    </row>
    <row r="26" spans="1:16" s="68" customFormat="1" ht="24.75">
      <c r="A26" s="378">
        <f t="shared" si="0"/>
        <v>13</v>
      </c>
      <c r="B26" s="378" t="s">
        <v>149</v>
      </c>
      <c r="C26" s="642" t="s">
        <v>1775</v>
      </c>
      <c r="D26" s="555" t="s">
        <v>100</v>
      </c>
      <c r="E26" s="354">
        <v>3</v>
      </c>
      <c r="F26" s="145"/>
      <c r="G26" s="145"/>
      <c r="H26" s="204"/>
      <c r="I26" s="204"/>
      <c r="J26" s="204"/>
      <c r="K26" s="145"/>
      <c r="L26" s="145"/>
      <c r="M26" s="145"/>
      <c r="N26" s="145"/>
      <c r="O26" s="145"/>
      <c r="P26" s="145"/>
    </row>
    <row r="27" spans="1:16" s="68" customFormat="1">
      <c r="A27" s="378">
        <f t="shared" si="0"/>
        <v>14</v>
      </c>
      <c r="B27" s="378" t="s">
        <v>149</v>
      </c>
      <c r="C27" s="642" t="s">
        <v>92</v>
      </c>
      <c r="D27" s="555" t="s">
        <v>100</v>
      </c>
      <c r="E27" s="354">
        <v>1</v>
      </c>
      <c r="F27" s="145"/>
      <c r="G27" s="145"/>
      <c r="H27" s="204"/>
      <c r="I27" s="204"/>
      <c r="J27" s="204"/>
      <c r="K27" s="145"/>
      <c r="L27" s="145"/>
      <c r="M27" s="145"/>
      <c r="N27" s="145"/>
      <c r="O27" s="145"/>
      <c r="P27" s="145"/>
    </row>
    <row r="28" spans="1:16" s="68" customFormat="1">
      <c r="A28" s="495">
        <f t="shared" si="0"/>
        <v>15</v>
      </c>
      <c r="B28" s="495" t="s">
        <v>149</v>
      </c>
      <c r="C28" s="643" t="s">
        <v>1389</v>
      </c>
      <c r="D28" s="644" t="s">
        <v>100</v>
      </c>
      <c r="E28" s="438">
        <v>1</v>
      </c>
      <c r="F28" s="146"/>
      <c r="G28" s="146"/>
      <c r="H28" s="205"/>
      <c r="I28" s="205"/>
      <c r="J28" s="205"/>
      <c r="K28" s="146"/>
      <c r="L28" s="146"/>
      <c r="M28" s="146"/>
      <c r="N28" s="146"/>
      <c r="O28" s="146"/>
      <c r="P28" s="146"/>
    </row>
    <row r="29" spans="1:16">
      <c r="A29" s="890" t="s">
        <v>177</v>
      </c>
      <c r="B29" s="890"/>
      <c r="C29" s="890"/>
      <c r="D29" s="890"/>
      <c r="E29" s="890"/>
      <c r="F29" s="890"/>
      <c r="G29" s="890"/>
      <c r="H29" s="890"/>
      <c r="I29" s="890"/>
      <c r="J29" s="890"/>
      <c r="K29" s="890"/>
      <c r="L29" s="131">
        <f>SUM(L14:L28)</f>
        <v>0</v>
      </c>
      <c r="M29" s="131">
        <f>SUM(M14:M28)</f>
        <v>0</v>
      </c>
      <c r="N29" s="131">
        <f>SUM(N14:N28)</f>
        <v>0</v>
      </c>
      <c r="O29" s="131">
        <f>SUM(O14:O28)</f>
        <v>0</v>
      </c>
      <c r="P29" s="131">
        <f>SUM(P14:P28)</f>
        <v>0</v>
      </c>
    </row>
    <row r="30" spans="1:16" s="50" customFormat="1" collapsed="1">
      <c r="A30" s="885" t="s">
        <v>36</v>
      </c>
      <c r="B30" s="885"/>
      <c r="C30" s="1"/>
      <c r="D30" s="1"/>
      <c r="E30" s="1"/>
      <c r="F30" s="1"/>
      <c r="G30" s="1"/>
      <c r="H30" s="1"/>
      <c r="I30" s="1"/>
      <c r="J30" s="1"/>
      <c r="K30" s="1"/>
      <c r="L30" s="1"/>
      <c r="M30" s="1"/>
      <c r="N30" s="1"/>
      <c r="O30" s="1"/>
      <c r="P30" s="1"/>
    </row>
    <row r="31" spans="1:16" s="50" customFormat="1" ht="15" customHeight="1">
      <c r="A31" s="886" t="s">
        <v>56</v>
      </c>
      <c r="B31" s="886"/>
      <c r="C31" s="886"/>
      <c r="D31" s="886"/>
      <c r="E31" s="886"/>
      <c r="F31" s="886"/>
      <c r="G31" s="886"/>
      <c r="H31" s="886"/>
      <c r="I31" s="886"/>
      <c r="J31" s="886"/>
      <c r="K31" s="886"/>
      <c r="L31" s="886"/>
      <c r="M31" s="886"/>
      <c r="N31" s="886"/>
      <c r="O31" s="886"/>
      <c r="P31" s="886"/>
    </row>
    <row r="32" spans="1:16" s="50" customFormat="1" collapsed="1">
      <c r="A32" s="910"/>
      <c r="B32" s="910"/>
    </row>
    <row r="33" spans="1:16">
      <c r="A33" s="906" t="s">
        <v>7</v>
      </c>
      <c r="B33" s="906"/>
      <c r="C33" s="307"/>
      <c r="D33" s="50"/>
      <c r="E33" s="50"/>
      <c r="F33" s="50"/>
      <c r="G33" s="50"/>
      <c r="H33" s="50"/>
      <c r="I33" s="50"/>
      <c r="J33" s="50"/>
      <c r="K33" s="50"/>
      <c r="L33" s="307"/>
      <c r="M33" s="81"/>
      <c r="N33" s="81"/>
      <c r="O33" s="50"/>
      <c r="P33" s="50"/>
    </row>
  </sheetData>
  <mergeCells count="24">
    <mergeCell ref="L10:P10"/>
    <mergeCell ref="A29:K29"/>
    <mergeCell ref="A30:B30"/>
    <mergeCell ref="A31:P31"/>
    <mergeCell ref="A32:B32"/>
    <mergeCell ref="E10:E11"/>
    <mergeCell ref="F10:K10"/>
    <mergeCell ref="A33:B33"/>
    <mergeCell ref="A10:A11"/>
    <mergeCell ref="B10:B11"/>
    <mergeCell ref="C10:C11"/>
    <mergeCell ref="D10:D11"/>
    <mergeCell ref="A5:B5"/>
    <mergeCell ref="C5:P5"/>
    <mergeCell ref="A6:B6"/>
    <mergeCell ref="C6:P6"/>
    <mergeCell ref="A7:B7"/>
    <mergeCell ref="C7:P7"/>
    <mergeCell ref="A1:P1"/>
    <mergeCell ref="A3:B3"/>
    <mergeCell ref="C3:P3"/>
    <mergeCell ref="A4:B4"/>
    <mergeCell ref="C4:P4"/>
    <mergeCell ref="A2:P2"/>
  </mergeCells>
  <conditionalFormatting sqref="C14:C28">
    <cfRule type="expression" priority="1" stopIfTrue="1">
      <formula>#REF!</formula>
    </cfRule>
  </conditionalFormatting>
  <conditionalFormatting sqref="C14:C28">
    <cfRule type="expression" priority="2" stopIfTrue="1">
      <formula>#REF!</formula>
    </cfRule>
  </conditionalFormatting>
  <pageMargins left="0.23622047244094491" right="0.23622047244094491" top="0.74803149606299213" bottom="0.74803149606299213" header="0.31496062992125984" footer="0.31496062992125984"/>
  <pageSetup paperSize="9" scale="72"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Q50"/>
  <sheetViews>
    <sheetView showZeros="0" zoomScale="75" zoomScaleNormal="75" zoomScaleSheetLayoutView="80" workbookViewId="0">
      <selection activeCell="E12" sqref="E12"/>
    </sheetView>
  </sheetViews>
  <sheetFormatPr defaultColWidth="9.140625" defaultRowHeight="15"/>
  <cols>
    <col min="1" max="1" width="8.85546875" style="46" customWidth="1"/>
    <col min="2" max="2" width="11.7109375" style="46" customWidth="1"/>
    <col min="3" max="3" width="45.5703125" style="46" customWidth="1"/>
    <col min="4" max="4" width="8.7109375" style="46" customWidth="1"/>
    <col min="5" max="5" width="8.7109375" style="321" customWidth="1"/>
    <col min="6" max="8" width="8.7109375" style="46" customWidth="1"/>
    <col min="9" max="9" width="8.7109375" style="48" customWidth="1"/>
    <col min="10" max="11" width="8.7109375" style="46" customWidth="1"/>
    <col min="12" max="16" width="12.7109375" style="46" customWidth="1"/>
    <col min="17" max="17" width="9.140625" style="184" customWidth="1"/>
    <col min="18" max="18" width="9.140625" style="46" customWidth="1"/>
    <col min="19" max="16384" width="9.140625" style="46"/>
  </cols>
  <sheetData>
    <row r="1" spans="1:17" s="45" customFormat="1" ht="15.75">
      <c r="A1" s="877" t="s">
        <v>57</v>
      </c>
      <c r="B1" s="877"/>
      <c r="C1" s="877"/>
      <c r="D1" s="877"/>
      <c r="E1" s="877"/>
      <c r="F1" s="877"/>
      <c r="G1" s="877"/>
      <c r="H1" s="877"/>
      <c r="I1" s="877"/>
      <c r="J1" s="877"/>
      <c r="K1" s="877"/>
      <c r="L1" s="877"/>
      <c r="M1" s="877"/>
      <c r="N1" s="877"/>
      <c r="O1" s="877"/>
      <c r="P1" s="877"/>
      <c r="Q1" s="183"/>
    </row>
    <row r="2" spans="1:17" s="45" customFormat="1" ht="15.75">
      <c r="A2" s="891" t="s">
        <v>53</v>
      </c>
      <c r="B2" s="891"/>
      <c r="C2" s="891"/>
      <c r="D2" s="891"/>
      <c r="E2" s="891"/>
      <c r="F2" s="891"/>
      <c r="G2" s="891"/>
      <c r="H2" s="891"/>
      <c r="I2" s="891"/>
      <c r="J2" s="891"/>
      <c r="K2" s="891"/>
      <c r="L2" s="891"/>
      <c r="M2" s="891"/>
      <c r="N2" s="891"/>
      <c r="O2" s="891"/>
      <c r="P2" s="891"/>
      <c r="Q2" s="183"/>
    </row>
    <row r="3" spans="1:17" s="45" customFormat="1" ht="15.6" customHeight="1">
      <c r="A3" s="876" t="s">
        <v>10</v>
      </c>
      <c r="B3" s="876"/>
      <c r="C3" s="859" t="s">
        <v>117</v>
      </c>
      <c r="D3" s="859"/>
      <c r="E3" s="859"/>
      <c r="F3" s="859"/>
      <c r="G3" s="859"/>
      <c r="H3" s="859"/>
      <c r="I3" s="859"/>
      <c r="J3" s="859"/>
      <c r="K3" s="859"/>
      <c r="L3" s="859"/>
      <c r="M3" s="859"/>
      <c r="N3" s="859"/>
      <c r="O3" s="859"/>
      <c r="P3" s="859"/>
      <c r="Q3" s="183"/>
    </row>
    <row r="4" spans="1:17" s="45" customFormat="1" ht="15.6" customHeight="1">
      <c r="A4" s="873" t="s">
        <v>11</v>
      </c>
      <c r="B4" s="873"/>
      <c r="C4" s="859" t="s">
        <v>118</v>
      </c>
      <c r="D4" s="859"/>
      <c r="E4" s="859"/>
      <c r="F4" s="859"/>
      <c r="G4" s="859"/>
      <c r="H4" s="859"/>
      <c r="I4" s="859"/>
      <c r="J4" s="859"/>
      <c r="K4" s="859"/>
      <c r="L4" s="859"/>
      <c r="M4" s="859"/>
      <c r="N4" s="859"/>
      <c r="O4" s="859"/>
      <c r="P4" s="859"/>
      <c r="Q4" s="183"/>
    </row>
    <row r="5" spans="1:17" s="45" customFormat="1" ht="15.6" customHeight="1">
      <c r="A5" s="873" t="s">
        <v>12</v>
      </c>
      <c r="B5" s="873"/>
      <c r="C5" s="859" t="s">
        <v>50</v>
      </c>
      <c r="D5" s="859"/>
      <c r="E5" s="859"/>
      <c r="F5" s="859"/>
      <c r="G5" s="859"/>
      <c r="H5" s="859"/>
      <c r="I5" s="859"/>
      <c r="J5" s="859"/>
      <c r="K5" s="859"/>
      <c r="L5" s="859"/>
      <c r="M5" s="859"/>
      <c r="N5" s="859"/>
      <c r="O5" s="859"/>
      <c r="P5" s="859"/>
      <c r="Q5" s="183"/>
    </row>
    <row r="6" spans="1:17" s="45" customFormat="1" ht="15.75">
      <c r="A6" s="873" t="s">
        <v>30</v>
      </c>
      <c r="B6" s="873"/>
      <c r="C6" s="874"/>
      <c r="D6" s="874"/>
      <c r="E6" s="874"/>
      <c r="F6" s="874"/>
      <c r="G6" s="874"/>
      <c r="H6" s="874"/>
      <c r="I6" s="874"/>
      <c r="J6" s="874"/>
      <c r="K6" s="874"/>
      <c r="L6" s="874"/>
      <c r="M6" s="874"/>
      <c r="N6" s="874"/>
      <c r="O6" s="874"/>
      <c r="P6" s="874"/>
      <c r="Q6" s="183"/>
    </row>
    <row r="7" spans="1:17" s="45" customFormat="1" ht="15.75">
      <c r="A7" s="873" t="s">
        <v>54</v>
      </c>
      <c r="B7" s="873"/>
      <c r="C7" s="873"/>
      <c r="D7" s="873"/>
      <c r="E7" s="873"/>
      <c r="F7" s="873"/>
      <c r="G7" s="873"/>
      <c r="H7" s="873"/>
      <c r="I7" s="873"/>
      <c r="J7" s="873"/>
      <c r="K7" s="873"/>
      <c r="L7" s="873"/>
      <c r="M7" s="873"/>
      <c r="N7" s="873"/>
      <c r="O7" s="873"/>
      <c r="P7" s="873"/>
      <c r="Q7" s="183"/>
    </row>
    <row r="8" spans="1:17" s="45" customFormat="1" ht="15.75">
      <c r="A8" s="47"/>
      <c r="B8" s="47"/>
      <c r="C8" s="47"/>
      <c r="D8" s="47"/>
      <c r="E8" s="320"/>
      <c r="F8" s="47"/>
      <c r="G8" s="47"/>
      <c r="H8" s="47"/>
      <c r="I8" s="47"/>
      <c r="J8" s="47"/>
      <c r="K8" s="47"/>
      <c r="L8" s="46"/>
      <c r="M8" s="46"/>
      <c r="N8" s="55"/>
      <c r="O8" s="56" t="s">
        <v>52</v>
      </c>
      <c r="P8" s="57">
        <f>P44</f>
        <v>0</v>
      </c>
      <c r="Q8" s="183"/>
    </row>
    <row r="9" spans="1:17" s="45" customFormat="1" ht="15.75">
      <c r="A9" s="308"/>
      <c r="B9" s="308"/>
      <c r="C9" s="308"/>
      <c r="D9" s="308"/>
      <c r="E9" s="323"/>
      <c r="F9" s="308"/>
      <c r="G9" s="308"/>
      <c r="H9" s="308"/>
      <c r="I9" s="308"/>
      <c r="J9" s="308"/>
      <c r="K9" s="308"/>
      <c r="L9" s="308"/>
      <c r="M9" s="308"/>
      <c r="N9" s="308"/>
      <c r="O9" s="308"/>
      <c r="P9" s="308"/>
      <c r="Q9" s="183"/>
    </row>
    <row r="10" spans="1:17" ht="14.25" customHeight="1">
      <c r="A10" s="879" t="s">
        <v>14</v>
      </c>
      <c r="B10" s="880" t="s">
        <v>21</v>
      </c>
      <c r="C10" s="882" t="s">
        <v>22</v>
      </c>
      <c r="D10" s="883" t="s">
        <v>23</v>
      </c>
      <c r="E10" s="884" t="s">
        <v>24</v>
      </c>
      <c r="F10" s="888" t="s">
        <v>25</v>
      </c>
      <c r="G10" s="888"/>
      <c r="H10" s="888"/>
      <c r="I10" s="888"/>
      <c r="J10" s="888"/>
      <c r="K10" s="888"/>
      <c r="L10" s="888" t="s">
        <v>26</v>
      </c>
      <c r="M10" s="888"/>
      <c r="N10" s="888"/>
      <c r="O10" s="888"/>
      <c r="P10" s="888"/>
    </row>
    <row r="11" spans="1:17" ht="74.25" customHeight="1">
      <c r="A11" s="879"/>
      <c r="B11" s="881"/>
      <c r="C11" s="882"/>
      <c r="D11" s="883"/>
      <c r="E11" s="884"/>
      <c r="F11" s="306" t="s">
        <v>27</v>
      </c>
      <c r="G11" s="306" t="s">
        <v>37</v>
      </c>
      <c r="H11" s="306" t="s">
        <v>38</v>
      </c>
      <c r="I11" s="306" t="s">
        <v>39</v>
      </c>
      <c r="J11" s="306" t="s">
        <v>40</v>
      </c>
      <c r="K11" s="306" t="s">
        <v>41</v>
      </c>
      <c r="L11" s="306" t="s">
        <v>18</v>
      </c>
      <c r="M11" s="306" t="s">
        <v>38</v>
      </c>
      <c r="N11" s="306" t="s">
        <v>39</v>
      </c>
      <c r="O11" s="306" t="s">
        <v>40</v>
      </c>
      <c r="P11" s="306" t="s">
        <v>42</v>
      </c>
    </row>
    <row r="12" spans="1:17">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7">
      <c r="A13" s="116">
        <v>0</v>
      </c>
      <c r="B13" s="133"/>
      <c r="C13" s="358" t="s">
        <v>53</v>
      </c>
      <c r="D13" s="134"/>
      <c r="E13" s="324"/>
      <c r="F13" s="118"/>
      <c r="G13" s="118"/>
      <c r="H13" s="119"/>
      <c r="I13" s="119"/>
      <c r="J13" s="119"/>
      <c r="K13" s="119">
        <f t="shared" ref="K13" si="0">SUM(H13:J13)</f>
        <v>0</v>
      </c>
      <c r="L13" s="118">
        <f t="shared" ref="L13" si="1">ROUND(F13*E13,2)</f>
        <v>0</v>
      </c>
      <c r="M13" s="120">
        <f t="shared" ref="M13" si="2">ROUND(H13*E13,2)</f>
        <v>0</v>
      </c>
      <c r="N13" s="120">
        <f t="shared" ref="N13" si="3">ROUND(I13*E13,2)</f>
        <v>0</v>
      </c>
      <c r="O13" s="120">
        <f t="shared" ref="O13" si="4">ROUND(J13*E13,2)</f>
        <v>0</v>
      </c>
      <c r="P13" s="120">
        <f t="shared" ref="P13" si="5">SUM(M13:O13)</f>
        <v>0</v>
      </c>
    </row>
    <row r="14" spans="1:17">
      <c r="A14" s="344">
        <v>1</v>
      </c>
      <c r="B14" s="344" t="s">
        <v>149</v>
      </c>
      <c r="C14" s="359" t="s">
        <v>178</v>
      </c>
      <c r="D14" s="360" t="s">
        <v>84</v>
      </c>
      <c r="E14" s="361">
        <v>345.92</v>
      </c>
      <c r="F14" s="206"/>
      <c r="G14" s="121"/>
      <c r="H14" s="121"/>
      <c r="I14" s="121"/>
      <c r="J14" s="121"/>
      <c r="K14" s="121"/>
      <c r="L14" s="121"/>
      <c r="M14" s="122"/>
      <c r="N14" s="122"/>
      <c r="O14" s="122"/>
      <c r="P14" s="122"/>
    </row>
    <row r="15" spans="1:17">
      <c r="A15" s="348">
        <f>A14+1</f>
        <v>2</v>
      </c>
      <c r="B15" s="348" t="s">
        <v>149</v>
      </c>
      <c r="C15" s="362" t="s">
        <v>179</v>
      </c>
      <c r="D15" s="363" t="s">
        <v>84</v>
      </c>
      <c r="E15" s="364">
        <v>337.56</v>
      </c>
      <c r="F15" s="137"/>
      <c r="G15" s="137"/>
      <c r="H15" s="137"/>
      <c r="I15" s="137"/>
      <c r="J15" s="137"/>
      <c r="K15" s="137"/>
      <c r="L15" s="137"/>
      <c r="M15" s="138"/>
      <c r="N15" s="138"/>
      <c r="O15" s="138"/>
      <c r="P15" s="138"/>
    </row>
    <row r="16" spans="1:17">
      <c r="A16" s="348">
        <f t="shared" ref="A16:A42" si="6">A15+1</f>
        <v>3</v>
      </c>
      <c r="B16" s="348" t="s">
        <v>149</v>
      </c>
      <c r="C16" s="362" t="s">
        <v>180</v>
      </c>
      <c r="D16" s="363" t="s">
        <v>84</v>
      </c>
      <c r="E16" s="364">
        <v>3.5</v>
      </c>
      <c r="F16" s="137"/>
      <c r="G16" s="137"/>
      <c r="H16" s="137"/>
      <c r="I16" s="137"/>
      <c r="J16" s="137"/>
      <c r="K16" s="137"/>
      <c r="L16" s="137"/>
      <c r="M16" s="138"/>
      <c r="N16" s="138"/>
      <c r="O16" s="138"/>
      <c r="P16" s="138"/>
    </row>
    <row r="17" spans="1:16">
      <c r="A17" s="348">
        <f t="shared" si="6"/>
        <v>4</v>
      </c>
      <c r="B17" s="348" t="s">
        <v>149</v>
      </c>
      <c r="C17" s="362" t="s">
        <v>181</v>
      </c>
      <c r="D17" s="363" t="s">
        <v>84</v>
      </c>
      <c r="E17" s="364">
        <v>14.02</v>
      </c>
      <c r="F17" s="137"/>
      <c r="G17" s="137"/>
      <c r="H17" s="137"/>
      <c r="I17" s="137"/>
      <c r="J17" s="137"/>
      <c r="K17" s="137"/>
      <c r="L17" s="137"/>
      <c r="M17" s="138"/>
      <c r="N17" s="138"/>
      <c r="O17" s="138"/>
      <c r="P17" s="138"/>
    </row>
    <row r="18" spans="1:16">
      <c r="A18" s="348">
        <f t="shared" si="6"/>
        <v>5</v>
      </c>
      <c r="B18" s="348" t="s">
        <v>149</v>
      </c>
      <c r="C18" s="362" t="s">
        <v>182</v>
      </c>
      <c r="D18" s="363" t="s">
        <v>84</v>
      </c>
      <c r="E18" s="364">
        <v>18.440000000000001</v>
      </c>
      <c r="F18" s="137"/>
      <c r="G18" s="137"/>
      <c r="H18" s="137"/>
      <c r="I18" s="137"/>
      <c r="J18" s="137"/>
      <c r="K18" s="137"/>
      <c r="L18" s="137"/>
      <c r="M18" s="138"/>
      <c r="N18" s="138"/>
      <c r="O18" s="138"/>
      <c r="P18" s="138"/>
    </row>
    <row r="19" spans="1:16">
      <c r="A19" s="348">
        <f t="shared" si="6"/>
        <v>6</v>
      </c>
      <c r="B19" s="348" t="s">
        <v>149</v>
      </c>
      <c r="C19" s="362" t="s">
        <v>183</v>
      </c>
      <c r="D19" s="363" t="s">
        <v>84</v>
      </c>
      <c r="E19" s="364">
        <v>35.020000000000003</v>
      </c>
      <c r="F19" s="137"/>
      <c r="G19" s="137"/>
      <c r="H19" s="137"/>
      <c r="I19" s="137"/>
      <c r="J19" s="137"/>
      <c r="K19" s="137"/>
      <c r="L19" s="137"/>
      <c r="M19" s="138"/>
      <c r="N19" s="138"/>
      <c r="O19" s="138"/>
      <c r="P19" s="138"/>
    </row>
    <row r="20" spans="1:16" ht="25.5">
      <c r="A20" s="348">
        <f t="shared" si="6"/>
        <v>7</v>
      </c>
      <c r="B20" s="348" t="s">
        <v>149</v>
      </c>
      <c r="C20" s="362" t="s">
        <v>184</v>
      </c>
      <c r="D20" s="363" t="s">
        <v>84</v>
      </c>
      <c r="E20" s="364">
        <v>31.07</v>
      </c>
      <c r="F20" s="137"/>
      <c r="G20" s="137"/>
      <c r="H20" s="137"/>
      <c r="I20" s="137"/>
      <c r="J20" s="137"/>
      <c r="K20" s="137"/>
      <c r="L20" s="137"/>
      <c r="M20" s="138"/>
      <c r="N20" s="138"/>
      <c r="O20" s="138"/>
      <c r="P20" s="138"/>
    </row>
    <row r="21" spans="1:16">
      <c r="A21" s="348">
        <f t="shared" si="6"/>
        <v>8</v>
      </c>
      <c r="B21" s="348" t="s">
        <v>149</v>
      </c>
      <c r="C21" s="362" t="s">
        <v>185</v>
      </c>
      <c r="D21" s="363" t="s">
        <v>82</v>
      </c>
      <c r="E21" s="364">
        <v>1026.1400000000001</v>
      </c>
      <c r="F21" s="137"/>
      <c r="G21" s="137"/>
      <c r="H21" s="137"/>
      <c r="I21" s="137"/>
      <c r="J21" s="137"/>
      <c r="K21" s="137"/>
      <c r="L21" s="137"/>
      <c r="M21" s="138"/>
      <c r="N21" s="138"/>
      <c r="O21" s="138"/>
      <c r="P21" s="138"/>
    </row>
    <row r="22" spans="1:16">
      <c r="A22" s="348">
        <f t="shared" si="6"/>
        <v>9</v>
      </c>
      <c r="B22" s="348" t="s">
        <v>149</v>
      </c>
      <c r="C22" s="362" t="s">
        <v>186</v>
      </c>
      <c r="D22" s="363" t="s">
        <v>84</v>
      </c>
      <c r="E22" s="364">
        <v>23.32</v>
      </c>
      <c r="F22" s="137"/>
      <c r="G22" s="137"/>
      <c r="H22" s="137"/>
      <c r="I22" s="137"/>
      <c r="J22" s="137"/>
      <c r="K22" s="137"/>
      <c r="L22" s="137"/>
      <c r="M22" s="138"/>
      <c r="N22" s="138"/>
      <c r="O22" s="138"/>
      <c r="P22" s="138"/>
    </row>
    <row r="23" spans="1:16">
      <c r="A23" s="348">
        <f t="shared" si="6"/>
        <v>10</v>
      </c>
      <c r="B23" s="348" t="s">
        <v>149</v>
      </c>
      <c r="C23" s="362" t="s">
        <v>187</v>
      </c>
      <c r="D23" s="363" t="s">
        <v>84</v>
      </c>
      <c r="E23" s="364">
        <v>13.5</v>
      </c>
      <c r="F23" s="137"/>
      <c r="G23" s="137"/>
      <c r="H23" s="137"/>
      <c r="I23" s="137"/>
      <c r="J23" s="137"/>
      <c r="K23" s="137"/>
      <c r="L23" s="137"/>
      <c r="M23" s="138"/>
      <c r="N23" s="138"/>
      <c r="O23" s="138"/>
      <c r="P23" s="138"/>
    </row>
    <row r="24" spans="1:16">
      <c r="A24" s="348">
        <f t="shared" si="6"/>
        <v>11</v>
      </c>
      <c r="B24" s="348" t="s">
        <v>149</v>
      </c>
      <c r="C24" s="362" t="s">
        <v>188</v>
      </c>
      <c r="D24" s="363" t="s">
        <v>84</v>
      </c>
      <c r="E24" s="364">
        <v>51.21</v>
      </c>
      <c r="F24" s="137"/>
      <c r="G24" s="137"/>
      <c r="H24" s="137"/>
      <c r="I24" s="137"/>
      <c r="J24" s="137"/>
      <c r="K24" s="137"/>
      <c r="L24" s="137"/>
      <c r="M24" s="138"/>
      <c r="N24" s="138"/>
      <c r="O24" s="138"/>
      <c r="P24" s="138"/>
    </row>
    <row r="25" spans="1:16">
      <c r="A25" s="348">
        <f t="shared" si="6"/>
        <v>12</v>
      </c>
      <c r="B25" s="348" t="s">
        <v>149</v>
      </c>
      <c r="C25" s="362" t="s">
        <v>189</v>
      </c>
      <c r="D25" s="363" t="s">
        <v>84</v>
      </c>
      <c r="E25" s="364">
        <v>94.72</v>
      </c>
      <c r="F25" s="137"/>
      <c r="G25" s="137"/>
      <c r="H25" s="137"/>
      <c r="I25" s="137"/>
      <c r="J25" s="137"/>
      <c r="K25" s="137"/>
      <c r="L25" s="137"/>
      <c r="M25" s="138"/>
      <c r="N25" s="138"/>
      <c r="O25" s="138"/>
      <c r="P25" s="138"/>
    </row>
    <row r="26" spans="1:16">
      <c r="A26" s="348">
        <f t="shared" si="6"/>
        <v>13</v>
      </c>
      <c r="B26" s="348" t="s">
        <v>149</v>
      </c>
      <c r="C26" s="362" t="s">
        <v>190</v>
      </c>
      <c r="D26" s="363" t="s">
        <v>84</v>
      </c>
      <c r="E26" s="364">
        <v>202.7</v>
      </c>
      <c r="F26" s="137"/>
      <c r="G26" s="137"/>
      <c r="H26" s="137"/>
      <c r="I26" s="137"/>
      <c r="J26" s="137"/>
      <c r="K26" s="137"/>
      <c r="L26" s="137"/>
      <c r="M26" s="138"/>
      <c r="N26" s="138"/>
      <c r="O26" s="138"/>
      <c r="P26" s="138"/>
    </row>
    <row r="27" spans="1:16">
      <c r="A27" s="348">
        <f t="shared" si="6"/>
        <v>14</v>
      </c>
      <c r="B27" s="348" t="s">
        <v>149</v>
      </c>
      <c r="C27" s="362" t="s">
        <v>191</v>
      </c>
      <c r="D27" s="363" t="s">
        <v>84</v>
      </c>
      <c r="E27" s="364">
        <v>180</v>
      </c>
      <c r="F27" s="137"/>
      <c r="G27" s="137"/>
      <c r="H27" s="137"/>
      <c r="I27" s="137"/>
      <c r="J27" s="137"/>
      <c r="K27" s="137"/>
      <c r="L27" s="137"/>
      <c r="M27" s="138"/>
      <c r="N27" s="138"/>
      <c r="O27" s="138"/>
      <c r="P27" s="138"/>
    </row>
    <row r="28" spans="1:16" ht="25.5">
      <c r="A28" s="348">
        <f t="shared" si="6"/>
        <v>15</v>
      </c>
      <c r="B28" s="348" t="s">
        <v>149</v>
      </c>
      <c r="C28" s="362" t="s">
        <v>192</v>
      </c>
      <c r="D28" s="363" t="s">
        <v>82</v>
      </c>
      <c r="E28" s="364">
        <v>2167.04</v>
      </c>
      <c r="F28" s="137"/>
      <c r="G28" s="137"/>
      <c r="H28" s="137"/>
      <c r="I28" s="137"/>
      <c r="J28" s="137"/>
      <c r="K28" s="137"/>
      <c r="L28" s="137"/>
      <c r="M28" s="138"/>
      <c r="N28" s="138"/>
      <c r="O28" s="138"/>
      <c r="P28" s="138"/>
    </row>
    <row r="29" spans="1:16">
      <c r="A29" s="348">
        <f t="shared" si="6"/>
        <v>16</v>
      </c>
      <c r="B29" s="348" t="s">
        <v>149</v>
      </c>
      <c r="C29" s="362" t="s">
        <v>193</v>
      </c>
      <c r="D29" s="363" t="s">
        <v>82</v>
      </c>
      <c r="E29" s="364">
        <v>3522.95</v>
      </c>
      <c r="F29" s="137"/>
      <c r="G29" s="137"/>
      <c r="H29" s="137"/>
      <c r="I29" s="137"/>
      <c r="J29" s="137"/>
      <c r="K29" s="137"/>
      <c r="L29" s="137"/>
      <c r="M29" s="138"/>
      <c r="N29" s="138"/>
      <c r="O29" s="138"/>
      <c r="P29" s="138"/>
    </row>
    <row r="30" spans="1:16">
      <c r="A30" s="348">
        <f t="shared" si="6"/>
        <v>17</v>
      </c>
      <c r="B30" s="348" t="s">
        <v>149</v>
      </c>
      <c r="C30" s="362" t="s">
        <v>194</v>
      </c>
      <c r="D30" s="363" t="s">
        <v>82</v>
      </c>
      <c r="E30" s="364">
        <v>253.09</v>
      </c>
      <c r="F30" s="137"/>
      <c r="G30" s="137"/>
      <c r="H30" s="137"/>
      <c r="I30" s="137"/>
      <c r="J30" s="137"/>
      <c r="K30" s="137"/>
      <c r="L30" s="137"/>
      <c r="M30" s="138"/>
      <c r="N30" s="138"/>
      <c r="O30" s="138"/>
      <c r="P30" s="138"/>
    </row>
    <row r="31" spans="1:16">
      <c r="A31" s="348">
        <f t="shared" si="6"/>
        <v>18</v>
      </c>
      <c r="B31" s="348" t="s">
        <v>149</v>
      </c>
      <c r="C31" s="362" t="s">
        <v>195</v>
      </c>
      <c r="D31" s="363" t="s">
        <v>96</v>
      </c>
      <c r="E31" s="364">
        <v>115</v>
      </c>
      <c r="F31" s="137"/>
      <c r="G31" s="137"/>
      <c r="H31" s="137"/>
      <c r="I31" s="137"/>
      <c r="J31" s="137"/>
      <c r="K31" s="137"/>
      <c r="L31" s="137"/>
      <c r="M31" s="138"/>
      <c r="N31" s="138"/>
      <c r="O31" s="138"/>
      <c r="P31" s="138"/>
    </row>
    <row r="32" spans="1:16">
      <c r="A32" s="348">
        <f t="shared" si="6"/>
        <v>19</v>
      </c>
      <c r="B32" s="348" t="s">
        <v>149</v>
      </c>
      <c r="C32" s="362" t="s">
        <v>196</v>
      </c>
      <c r="D32" s="363" t="s">
        <v>84</v>
      </c>
      <c r="E32" s="364">
        <v>1.2</v>
      </c>
      <c r="F32" s="137"/>
      <c r="G32" s="137"/>
      <c r="H32" s="137"/>
      <c r="I32" s="137"/>
      <c r="J32" s="137"/>
      <c r="K32" s="137"/>
      <c r="L32" s="137"/>
      <c r="M32" s="138"/>
      <c r="N32" s="138"/>
      <c r="O32" s="138"/>
      <c r="P32" s="138"/>
    </row>
    <row r="33" spans="1:17">
      <c r="A33" s="348">
        <f t="shared" si="6"/>
        <v>20</v>
      </c>
      <c r="B33" s="348" t="s">
        <v>149</v>
      </c>
      <c r="C33" s="362" t="s">
        <v>197</v>
      </c>
      <c r="D33" s="363" t="s">
        <v>84</v>
      </c>
      <c r="E33" s="364">
        <v>0.81</v>
      </c>
      <c r="F33" s="137"/>
      <c r="G33" s="137"/>
      <c r="H33" s="137"/>
      <c r="I33" s="137"/>
      <c r="J33" s="137"/>
      <c r="K33" s="137"/>
      <c r="L33" s="137"/>
      <c r="M33" s="138"/>
      <c r="N33" s="138"/>
      <c r="O33" s="138"/>
      <c r="P33" s="138"/>
    </row>
    <row r="34" spans="1:17" ht="25.5">
      <c r="A34" s="348">
        <f t="shared" si="6"/>
        <v>21</v>
      </c>
      <c r="B34" s="348" t="s">
        <v>149</v>
      </c>
      <c r="C34" s="362" t="s">
        <v>198</v>
      </c>
      <c r="D34" s="363" t="s">
        <v>84</v>
      </c>
      <c r="E34" s="364">
        <v>14.4</v>
      </c>
      <c r="F34" s="137"/>
      <c r="G34" s="137"/>
      <c r="H34" s="137"/>
      <c r="I34" s="137"/>
      <c r="J34" s="137"/>
      <c r="K34" s="137"/>
      <c r="L34" s="137"/>
      <c r="M34" s="138"/>
      <c r="N34" s="138"/>
      <c r="O34" s="138"/>
      <c r="P34" s="138"/>
    </row>
    <row r="35" spans="1:17">
      <c r="A35" s="348">
        <f t="shared" si="6"/>
        <v>22</v>
      </c>
      <c r="B35" s="348" t="s">
        <v>149</v>
      </c>
      <c r="C35" s="362" t="s">
        <v>199</v>
      </c>
      <c r="D35" s="363" t="s">
        <v>96</v>
      </c>
      <c r="E35" s="364">
        <v>31</v>
      </c>
      <c r="F35" s="137"/>
      <c r="G35" s="137"/>
      <c r="H35" s="137"/>
      <c r="I35" s="137"/>
      <c r="J35" s="137"/>
      <c r="K35" s="137"/>
      <c r="L35" s="137"/>
      <c r="M35" s="138"/>
      <c r="N35" s="138"/>
      <c r="O35" s="138"/>
      <c r="P35" s="138"/>
    </row>
    <row r="36" spans="1:17">
      <c r="A36" s="348">
        <f t="shared" si="6"/>
        <v>23</v>
      </c>
      <c r="B36" s="348" t="s">
        <v>149</v>
      </c>
      <c r="C36" s="362" t="s">
        <v>200</v>
      </c>
      <c r="D36" s="363" t="s">
        <v>83</v>
      </c>
      <c r="E36" s="364">
        <v>20</v>
      </c>
      <c r="F36" s="137"/>
      <c r="G36" s="137"/>
      <c r="H36" s="137"/>
      <c r="I36" s="137"/>
      <c r="J36" s="137"/>
      <c r="K36" s="137"/>
      <c r="L36" s="137"/>
      <c r="M36" s="138"/>
      <c r="N36" s="138"/>
      <c r="O36" s="138"/>
      <c r="P36" s="138"/>
    </row>
    <row r="37" spans="1:17">
      <c r="A37" s="348">
        <f t="shared" si="6"/>
        <v>24</v>
      </c>
      <c r="B37" s="348" t="s">
        <v>149</v>
      </c>
      <c r="C37" s="362" t="s">
        <v>201</v>
      </c>
      <c r="D37" s="363" t="s">
        <v>83</v>
      </c>
      <c r="E37" s="364">
        <v>56</v>
      </c>
      <c r="F37" s="137"/>
      <c r="G37" s="137"/>
      <c r="H37" s="137"/>
      <c r="I37" s="137"/>
      <c r="J37" s="137"/>
      <c r="K37" s="137"/>
      <c r="L37" s="137"/>
      <c r="M37" s="138"/>
      <c r="N37" s="138"/>
      <c r="O37" s="138"/>
      <c r="P37" s="138"/>
    </row>
    <row r="38" spans="1:17" ht="25.5">
      <c r="A38" s="348">
        <f t="shared" si="6"/>
        <v>25</v>
      </c>
      <c r="B38" s="348" t="s">
        <v>149</v>
      </c>
      <c r="C38" s="362" t="s">
        <v>202</v>
      </c>
      <c r="D38" s="363" t="s">
        <v>96</v>
      </c>
      <c r="E38" s="364">
        <v>2</v>
      </c>
      <c r="F38" s="137"/>
      <c r="G38" s="137"/>
      <c r="H38" s="137"/>
      <c r="I38" s="137"/>
      <c r="J38" s="137"/>
      <c r="K38" s="137"/>
      <c r="L38" s="137"/>
      <c r="M38" s="138"/>
      <c r="N38" s="138"/>
      <c r="O38" s="138"/>
      <c r="P38" s="138"/>
    </row>
    <row r="39" spans="1:17" ht="25.5">
      <c r="A39" s="348">
        <f t="shared" si="6"/>
        <v>26</v>
      </c>
      <c r="B39" s="348" t="s">
        <v>149</v>
      </c>
      <c r="C39" s="362" t="s">
        <v>203</v>
      </c>
      <c r="D39" s="363" t="s">
        <v>100</v>
      </c>
      <c r="E39" s="364">
        <v>1</v>
      </c>
      <c r="F39" s="137"/>
      <c r="G39" s="137"/>
      <c r="H39" s="137"/>
      <c r="I39" s="137"/>
      <c r="J39" s="137"/>
      <c r="K39" s="137"/>
      <c r="L39" s="137"/>
      <c r="M39" s="138"/>
      <c r="N39" s="138"/>
      <c r="O39" s="138"/>
      <c r="P39" s="138"/>
    </row>
    <row r="40" spans="1:17" ht="25.5">
      <c r="A40" s="348">
        <f t="shared" si="6"/>
        <v>27</v>
      </c>
      <c r="B40" s="348" t="s">
        <v>149</v>
      </c>
      <c r="C40" s="362" t="s">
        <v>204</v>
      </c>
      <c r="D40" s="363" t="s">
        <v>100</v>
      </c>
      <c r="E40" s="364">
        <v>1</v>
      </c>
      <c r="F40" s="137"/>
      <c r="G40" s="137"/>
      <c r="H40" s="137"/>
      <c r="I40" s="137"/>
      <c r="J40" s="137"/>
      <c r="K40" s="137"/>
      <c r="L40" s="137"/>
      <c r="M40" s="138"/>
      <c r="N40" s="138"/>
      <c r="O40" s="138"/>
      <c r="P40" s="138"/>
    </row>
    <row r="41" spans="1:17">
      <c r="A41" s="348">
        <f t="shared" si="6"/>
        <v>28</v>
      </c>
      <c r="B41" s="348" t="s">
        <v>149</v>
      </c>
      <c r="C41" s="365" t="s">
        <v>205</v>
      </c>
      <c r="D41" s="363" t="s">
        <v>100</v>
      </c>
      <c r="E41" s="364">
        <v>1</v>
      </c>
      <c r="F41" s="137"/>
      <c r="G41" s="137"/>
      <c r="H41" s="137"/>
      <c r="I41" s="137"/>
      <c r="J41" s="137"/>
      <c r="K41" s="137"/>
      <c r="L41" s="137"/>
      <c r="M41" s="138"/>
      <c r="N41" s="138"/>
      <c r="O41" s="138"/>
      <c r="P41" s="138"/>
    </row>
    <row r="42" spans="1:17">
      <c r="A42" s="348">
        <f t="shared" si="6"/>
        <v>29</v>
      </c>
      <c r="B42" s="348" t="s">
        <v>149</v>
      </c>
      <c r="C42" s="365" t="s">
        <v>206</v>
      </c>
      <c r="D42" s="363" t="s">
        <v>100</v>
      </c>
      <c r="E42" s="364">
        <v>1</v>
      </c>
      <c r="F42" s="137"/>
      <c r="G42" s="137"/>
      <c r="H42" s="137"/>
      <c r="I42" s="137"/>
      <c r="J42" s="137"/>
      <c r="K42" s="137"/>
      <c r="L42" s="137"/>
      <c r="M42" s="138"/>
      <c r="N42" s="138"/>
      <c r="O42" s="138"/>
      <c r="P42" s="138"/>
    </row>
    <row r="43" spans="1:17">
      <c r="A43" s="366">
        <f>A42+1</f>
        <v>30</v>
      </c>
      <c r="B43" s="366" t="s">
        <v>149</v>
      </c>
      <c r="C43" s="367" t="s">
        <v>207</v>
      </c>
      <c r="D43" s="368" t="s">
        <v>84</v>
      </c>
      <c r="E43" s="369">
        <v>1503.97</v>
      </c>
      <c r="F43" s="137"/>
      <c r="G43" s="137"/>
      <c r="H43" s="137"/>
      <c r="I43" s="137"/>
      <c r="J43" s="137"/>
      <c r="K43" s="137"/>
      <c r="L43" s="137"/>
      <c r="M43" s="138"/>
      <c r="N43" s="138"/>
      <c r="O43" s="138"/>
      <c r="P43" s="138"/>
    </row>
    <row r="44" spans="1:17">
      <c r="A44" s="890" t="s">
        <v>177</v>
      </c>
      <c r="B44" s="890"/>
      <c r="C44" s="890"/>
      <c r="D44" s="890"/>
      <c r="E44" s="890"/>
      <c r="F44" s="890"/>
      <c r="G44" s="890"/>
      <c r="H44" s="890"/>
      <c r="I44" s="890"/>
      <c r="J44" s="890"/>
      <c r="K44" s="890"/>
      <c r="L44" s="131">
        <f>SUM(L14:L43)</f>
        <v>0</v>
      </c>
      <c r="M44" s="131">
        <f t="shared" ref="M44:P44" si="7">SUM(M14:M43)</f>
        <v>0</v>
      </c>
      <c r="N44" s="131">
        <f t="shared" si="7"/>
        <v>0</v>
      </c>
      <c r="O44" s="131">
        <f t="shared" si="7"/>
        <v>0</v>
      </c>
      <c r="P44" s="131">
        <f t="shared" si="7"/>
        <v>0</v>
      </c>
    </row>
    <row r="45" spans="1:17" s="1" customFormat="1" ht="12.75" customHeight="1">
      <c r="A45" s="885" t="s">
        <v>36</v>
      </c>
      <c r="B45" s="885"/>
      <c r="E45" s="98"/>
      <c r="Q45" s="185"/>
    </row>
    <row r="46" spans="1:17" s="1" customFormat="1" ht="15" customHeight="1">
      <c r="A46" s="886" t="s">
        <v>56</v>
      </c>
      <c r="B46" s="886"/>
      <c r="C46" s="886"/>
      <c r="D46" s="886"/>
      <c r="E46" s="886"/>
      <c r="F46" s="886"/>
      <c r="G46" s="886"/>
      <c r="H46" s="886"/>
      <c r="I46" s="886"/>
      <c r="J46" s="886"/>
      <c r="K46" s="886"/>
      <c r="L46" s="886"/>
      <c r="M46" s="886"/>
      <c r="N46" s="886"/>
      <c r="O46" s="886"/>
      <c r="P46" s="886"/>
      <c r="Q46" s="185"/>
    </row>
    <row r="47" spans="1:17" s="9" customFormat="1">
      <c r="A47" s="889"/>
      <c r="B47" s="889"/>
      <c r="E47" s="111"/>
      <c r="L47" s="50">
        <f>Koptame!A37</f>
        <v>0</v>
      </c>
      <c r="M47" s="50"/>
      <c r="N47" s="50"/>
      <c r="O47" s="50"/>
      <c r="P47" s="50"/>
      <c r="Q47" s="312"/>
    </row>
    <row r="48" spans="1:17" s="9" customFormat="1">
      <c r="A48" s="889" t="s">
        <v>7</v>
      </c>
      <c r="B48" s="889"/>
      <c r="C48" s="307"/>
      <c r="E48" s="111"/>
      <c r="L48" s="307"/>
      <c r="M48" s="887">
        <f>Koptame!B38</f>
        <v>0</v>
      </c>
      <c r="N48" s="887"/>
      <c r="O48" s="50"/>
      <c r="P48" s="50"/>
      <c r="Q48" s="312"/>
    </row>
    <row r="49" spans="1:17" s="9" customFormat="1">
      <c r="A49" s="9">
        <f>'1.1'!A45</f>
        <v>0</v>
      </c>
      <c r="B49" s="9">
        <f>'1.1'!B45</f>
        <v>0</v>
      </c>
      <c r="C49" s="305">
        <f>'1.1'!C45</f>
        <v>0</v>
      </c>
      <c r="D49" s="9">
        <f>'1.1'!D45</f>
        <v>0</v>
      </c>
      <c r="E49" s="111">
        <f>'1.1'!E45</f>
        <v>0</v>
      </c>
      <c r="F49" s="9">
        <f>'1.1'!F45</f>
        <v>0</v>
      </c>
      <c r="G49" s="9">
        <f>'1.1'!G45</f>
        <v>0</v>
      </c>
      <c r="H49" s="9">
        <f>'1.1'!H45</f>
        <v>0</v>
      </c>
      <c r="I49" s="9">
        <f>'1.1'!I45</f>
        <v>0</v>
      </c>
      <c r="J49" s="9">
        <f>'1.1'!J45</f>
        <v>0</v>
      </c>
      <c r="K49" s="9">
        <f>'1.1'!K45</f>
        <v>0</v>
      </c>
      <c r="L49" s="305">
        <f>'1.1'!L45</f>
        <v>0</v>
      </c>
      <c r="M49" s="878">
        <f>'1.1'!M45</f>
        <v>0</v>
      </c>
      <c r="N49" s="878"/>
      <c r="O49" s="9">
        <f>'1.1'!O45</f>
        <v>0</v>
      </c>
      <c r="P49" s="9">
        <f>'1.1'!P45</f>
        <v>0</v>
      </c>
      <c r="Q49" s="312"/>
    </row>
    <row r="50" spans="1:17" s="9" customFormat="1" collapsed="1">
      <c r="A50" s="9">
        <f>'1.1'!A46</f>
        <v>0</v>
      </c>
      <c r="B50" s="51">
        <f>'1.1'!B46</f>
        <v>0</v>
      </c>
      <c r="C50" s="9">
        <f>'1.1'!C46</f>
        <v>0</v>
      </c>
      <c r="D50" s="9">
        <f>'1.1'!D46</f>
        <v>0</v>
      </c>
      <c r="E50" s="111">
        <f>'1.1'!E46</f>
        <v>0</v>
      </c>
      <c r="F50" s="51">
        <f>'1.1'!F46</f>
        <v>0</v>
      </c>
      <c r="G50" s="51">
        <f>'1.1'!G46</f>
        <v>0</v>
      </c>
      <c r="H50" s="9">
        <f>'1.1'!H46</f>
        <v>0</v>
      </c>
      <c r="I50" s="9">
        <f>'1.1'!I46</f>
        <v>0</v>
      </c>
      <c r="J50" s="9">
        <f>'1.1'!J46</f>
        <v>0</v>
      </c>
      <c r="K50" s="9">
        <f>'1.1'!K46</f>
        <v>0</v>
      </c>
      <c r="L50" s="9">
        <f>'1.1'!L46</f>
        <v>0</v>
      </c>
      <c r="M50" s="9">
        <f>'1.1'!M46</f>
        <v>0</v>
      </c>
      <c r="N50" s="9">
        <f>'1.1'!N46</f>
        <v>0</v>
      </c>
      <c r="O50" s="9">
        <f>'1.1'!O46</f>
        <v>0</v>
      </c>
      <c r="P50" s="9">
        <f>'1.1'!P46</f>
        <v>0</v>
      </c>
      <c r="Q50" s="312"/>
    </row>
  </sheetData>
  <mergeCells count="26">
    <mergeCell ref="M49:N49"/>
    <mergeCell ref="A10:A11"/>
    <mergeCell ref="B10:B11"/>
    <mergeCell ref="C10:C11"/>
    <mergeCell ref="D10:D11"/>
    <mergeCell ref="E10:E11"/>
    <mergeCell ref="F10:K10"/>
    <mergeCell ref="L10:P10"/>
    <mergeCell ref="A48:B48"/>
    <mergeCell ref="M48:N48"/>
    <mergeCell ref="A47:B47"/>
    <mergeCell ref="A5:B5"/>
    <mergeCell ref="C5:P5"/>
    <mergeCell ref="A46:P46"/>
    <mergeCell ref="A44:K44"/>
    <mergeCell ref="A45:B45"/>
    <mergeCell ref="A6:B6"/>
    <mergeCell ref="C6:P6"/>
    <mergeCell ref="A7:B7"/>
    <mergeCell ref="C7:P7"/>
    <mergeCell ref="A1:P1"/>
    <mergeCell ref="A3:B3"/>
    <mergeCell ref="C3:P3"/>
    <mergeCell ref="A4:B4"/>
    <mergeCell ref="C4:P4"/>
    <mergeCell ref="A2:P2"/>
  </mergeCells>
  <conditionalFormatting sqref="C14:C43">
    <cfRule type="expression" priority="4" stopIfTrue="1">
      <formula>#REF!</formula>
    </cfRule>
  </conditionalFormatting>
  <conditionalFormatting sqref="C14:C43">
    <cfRule type="expression" priority="3" stopIfTrue="1">
      <formula>#REF!</formula>
    </cfRule>
  </conditionalFormatting>
  <conditionalFormatting sqref="C13">
    <cfRule type="expression" priority="1" stopIfTrue="1">
      <formula>#REF!</formula>
    </cfRule>
  </conditionalFormatting>
  <conditionalFormatting sqref="C13">
    <cfRule type="expression" priority="2"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R48"/>
  <sheetViews>
    <sheetView showZeros="0" zoomScale="75" zoomScaleNormal="75" zoomScaleSheetLayoutView="80" workbookViewId="0">
      <selection activeCell="E12" sqref="E12"/>
    </sheetView>
  </sheetViews>
  <sheetFormatPr defaultColWidth="9.140625" defaultRowHeight="15"/>
  <cols>
    <col min="1" max="1" width="8.85546875" style="60" customWidth="1"/>
    <col min="2" max="2" width="11" style="60" customWidth="1"/>
    <col min="3" max="3" width="45.7109375" style="60" customWidth="1"/>
    <col min="4" max="4" width="8.7109375" style="60" customWidth="1"/>
    <col min="5" max="5" width="10" style="102" customWidth="1"/>
    <col min="6" max="8" width="8.7109375" style="60" customWidth="1"/>
    <col min="9" max="9" width="8.7109375" style="68" customWidth="1"/>
    <col min="10" max="11" width="8.7109375" style="60" customWidth="1"/>
    <col min="12" max="16" width="12.7109375" style="60" customWidth="1"/>
    <col min="17" max="16384" width="9.140625" style="60"/>
  </cols>
  <sheetData>
    <row r="1" spans="1:16" s="59" customFormat="1" ht="15.75">
      <c r="A1" s="875" t="s">
        <v>58</v>
      </c>
      <c r="B1" s="875"/>
      <c r="C1" s="875"/>
      <c r="D1" s="875"/>
      <c r="E1" s="875"/>
      <c r="F1" s="875"/>
      <c r="G1" s="875"/>
      <c r="H1" s="875"/>
      <c r="I1" s="875"/>
      <c r="J1" s="875"/>
      <c r="K1" s="875"/>
      <c r="L1" s="875"/>
      <c r="M1" s="875"/>
      <c r="N1" s="875"/>
      <c r="O1" s="875"/>
      <c r="P1" s="875"/>
    </row>
    <row r="2" spans="1:16" s="59" customFormat="1" ht="15.75">
      <c r="A2" s="899" t="s">
        <v>128</v>
      </c>
      <c r="B2" s="899"/>
      <c r="C2" s="899"/>
      <c r="D2" s="899"/>
      <c r="E2" s="899"/>
      <c r="F2" s="899"/>
      <c r="G2" s="899"/>
      <c r="H2" s="899"/>
      <c r="I2" s="899"/>
      <c r="J2" s="899"/>
      <c r="K2" s="899"/>
      <c r="L2" s="899"/>
      <c r="M2" s="899"/>
      <c r="N2" s="899"/>
      <c r="O2" s="899"/>
      <c r="P2" s="899"/>
    </row>
    <row r="3" spans="1:16" s="59" customFormat="1" ht="15.6" customHeight="1">
      <c r="A3" s="876" t="s">
        <v>10</v>
      </c>
      <c r="B3" s="876"/>
      <c r="C3" s="859" t="s">
        <v>117</v>
      </c>
      <c r="D3" s="859"/>
      <c r="E3" s="859"/>
      <c r="F3" s="859"/>
      <c r="G3" s="859"/>
      <c r="H3" s="859"/>
      <c r="I3" s="859"/>
      <c r="J3" s="859"/>
      <c r="K3" s="859"/>
      <c r="L3" s="859"/>
      <c r="M3" s="859"/>
      <c r="N3" s="859"/>
      <c r="O3" s="859"/>
      <c r="P3" s="859"/>
    </row>
    <row r="4" spans="1:16" s="59" customFormat="1" ht="15.6" customHeight="1">
      <c r="A4" s="873" t="s">
        <v>11</v>
      </c>
      <c r="B4" s="873"/>
      <c r="C4" s="859" t="s">
        <v>118</v>
      </c>
      <c r="D4" s="859"/>
      <c r="E4" s="859"/>
      <c r="F4" s="859"/>
      <c r="G4" s="859"/>
      <c r="H4" s="859"/>
      <c r="I4" s="859"/>
      <c r="J4" s="859"/>
      <c r="K4" s="859"/>
      <c r="L4" s="859"/>
      <c r="M4" s="859"/>
      <c r="N4" s="859"/>
      <c r="O4" s="859"/>
      <c r="P4" s="859"/>
    </row>
    <row r="5" spans="1:16" s="59" customFormat="1" ht="15.75">
      <c r="A5" s="873" t="s">
        <v>12</v>
      </c>
      <c r="B5" s="873"/>
      <c r="C5" s="859" t="s">
        <v>50</v>
      </c>
      <c r="D5" s="859"/>
      <c r="E5" s="859"/>
      <c r="F5" s="859"/>
      <c r="G5" s="859"/>
      <c r="H5" s="859"/>
      <c r="I5" s="859"/>
      <c r="J5" s="859"/>
      <c r="K5" s="859"/>
      <c r="L5" s="859"/>
      <c r="M5" s="859"/>
      <c r="N5" s="859"/>
      <c r="O5" s="859"/>
      <c r="P5" s="859"/>
    </row>
    <row r="6" spans="1:16" s="59" customFormat="1" ht="15.75">
      <c r="A6" s="873" t="s">
        <v>30</v>
      </c>
      <c r="B6" s="873"/>
      <c r="C6" s="874"/>
      <c r="D6" s="874"/>
      <c r="E6" s="874"/>
      <c r="F6" s="874"/>
      <c r="G6" s="874"/>
      <c r="H6" s="874"/>
      <c r="I6" s="874"/>
      <c r="J6" s="874"/>
      <c r="K6" s="874"/>
      <c r="L6" s="874"/>
      <c r="M6" s="874"/>
      <c r="N6" s="874"/>
      <c r="O6" s="874"/>
      <c r="P6" s="874"/>
    </row>
    <row r="7" spans="1:16" s="59" customFormat="1" ht="15.75">
      <c r="A7" s="873" t="s">
        <v>54</v>
      </c>
      <c r="B7" s="873"/>
      <c r="C7" s="873"/>
      <c r="D7" s="873"/>
      <c r="E7" s="873"/>
      <c r="F7" s="873"/>
      <c r="G7" s="873"/>
      <c r="H7" s="873"/>
      <c r="I7" s="873"/>
      <c r="J7" s="873"/>
      <c r="K7" s="873"/>
      <c r="L7" s="873"/>
      <c r="M7" s="873"/>
      <c r="N7" s="873"/>
      <c r="O7" s="873"/>
      <c r="P7" s="873"/>
    </row>
    <row r="8" spans="1:16" s="59" customFormat="1" ht="15.75">
      <c r="A8" s="61"/>
      <c r="B8" s="61"/>
      <c r="C8" s="61"/>
      <c r="D8" s="61"/>
      <c r="E8" s="109"/>
      <c r="F8" s="61"/>
      <c r="G8" s="61"/>
      <c r="H8" s="61"/>
      <c r="I8" s="61"/>
      <c r="J8" s="61"/>
      <c r="K8" s="61"/>
      <c r="L8" s="60"/>
      <c r="M8" s="60"/>
      <c r="N8" s="62"/>
      <c r="O8" s="63" t="s">
        <v>52</v>
      </c>
      <c r="P8" s="64">
        <f>P34</f>
        <v>0</v>
      </c>
    </row>
    <row r="9" spans="1:16" ht="15.75">
      <c r="A9" s="66"/>
      <c r="B9" s="66"/>
      <c r="C9" s="66"/>
      <c r="D9" s="66"/>
      <c r="E9" s="110"/>
      <c r="F9" s="66"/>
      <c r="G9" s="66"/>
      <c r="H9" s="66"/>
      <c r="I9" s="66"/>
      <c r="J9" s="66"/>
      <c r="K9" s="66"/>
      <c r="L9" s="66"/>
      <c r="M9" s="66"/>
      <c r="N9" s="66"/>
      <c r="O9" s="66"/>
      <c r="P9" s="66"/>
    </row>
    <row r="10" spans="1:16"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6" ht="91.5">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6">
      <c r="A12" s="209">
        <v>1</v>
      </c>
      <c r="B12" s="209">
        <v>2</v>
      </c>
      <c r="C12" s="209">
        <v>3</v>
      </c>
      <c r="D12" s="209">
        <v>4</v>
      </c>
      <c r="E12" s="622">
        <v>5</v>
      </c>
      <c r="F12" s="209">
        <v>6</v>
      </c>
      <c r="G12" s="209">
        <v>7</v>
      </c>
      <c r="H12" s="209">
        <v>8</v>
      </c>
      <c r="I12" s="209">
        <v>9</v>
      </c>
      <c r="J12" s="209">
        <v>10</v>
      </c>
      <c r="K12" s="209">
        <v>11</v>
      </c>
      <c r="L12" s="209">
        <v>12</v>
      </c>
      <c r="M12" s="209">
        <v>13</v>
      </c>
      <c r="N12" s="209">
        <v>14</v>
      </c>
      <c r="O12" s="209">
        <v>15</v>
      </c>
      <c r="P12" s="209">
        <v>16</v>
      </c>
    </row>
    <row r="13" spans="1:16" s="1" customFormat="1">
      <c r="A13" s="370"/>
      <c r="B13" s="370"/>
      <c r="C13" s="371" t="s">
        <v>94</v>
      </c>
      <c r="D13" s="371"/>
      <c r="E13" s="372"/>
      <c r="F13" s="135"/>
      <c r="G13" s="135"/>
      <c r="H13" s="135"/>
      <c r="I13" s="135"/>
      <c r="J13" s="135"/>
      <c r="K13" s="135"/>
      <c r="L13" s="135"/>
      <c r="M13" s="136"/>
      <c r="N13" s="136"/>
      <c r="O13" s="136"/>
      <c r="P13" s="136"/>
    </row>
    <row r="14" spans="1:16" s="1" customFormat="1">
      <c r="A14" s="373">
        <f>1</f>
        <v>1</v>
      </c>
      <c r="B14" s="373" t="s">
        <v>149</v>
      </c>
      <c r="C14" s="374" t="s">
        <v>208</v>
      </c>
      <c r="D14" s="375" t="s">
        <v>84</v>
      </c>
      <c r="E14" s="376">
        <v>120</v>
      </c>
      <c r="F14" s="146"/>
      <c r="G14" s="146"/>
      <c r="H14" s="146"/>
      <c r="I14" s="146"/>
      <c r="J14" s="146"/>
      <c r="K14" s="146"/>
      <c r="L14" s="146"/>
      <c r="M14" s="205"/>
      <c r="N14" s="205"/>
      <c r="O14" s="205"/>
      <c r="P14" s="205"/>
    </row>
    <row r="15" spans="1:16" s="1" customFormat="1" ht="24">
      <c r="A15" s="348">
        <f>A14+1</f>
        <v>2</v>
      </c>
      <c r="B15" s="348" t="s">
        <v>149</v>
      </c>
      <c r="C15" s="377" t="s">
        <v>209</v>
      </c>
      <c r="D15" s="378" t="s">
        <v>84</v>
      </c>
      <c r="E15" s="379">
        <v>180</v>
      </c>
      <c r="F15" s="145"/>
      <c r="G15" s="145"/>
      <c r="H15" s="145"/>
      <c r="I15" s="145"/>
      <c r="J15" s="145"/>
      <c r="K15" s="145"/>
      <c r="L15" s="145"/>
      <c r="M15" s="204"/>
      <c r="N15" s="204"/>
      <c r="O15" s="204"/>
      <c r="P15" s="204"/>
    </row>
    <row r="16" spans="1:16" s="1" customFormat="1">
      <c r="A16" s="348">
        <f>A15+1</f>
        <v>3</v>
      </c>
      <c r="B16" s="348" t="s">
        <v>149</v>
      </c>
      <c r="C16" s="377" t="s">
        <v>210</v>
      </c>
      <c r="D16" s="378" t="s">
        <v>84</v>
      </c>
      <c r="E16" s="379">
        <f>E14</f>
        <v>120</v>
      </c>
      <c r="F16" s="145"/>
      <c r="G16" s="145"/>
      <c r="H16" s="145"/>
      <c r="I16" s="145"/>
      <c r="J16" s="145"/>
      <c r="K16" s="145"/>
      <c r="L16" s="145"/>
      <c r="M16" s="204"/>
      <c r="N16" s="204"/>
      <c r="O16" s="204"/>
      <c r="P16" s="204"/>
    </row>
    <row r="17" spans="1:18" s="1" customFormat="1" ht="24">
      <c r="A17" s="380">
        <v>4</v>
      </c>
      <c r="B17" s="380" t="s">
        <v>149</v>
      </c>
      <c r="C17" s="381" t="s">
        <v>211</v>
      </c>
      <c r="D17" s="382" t="s">
        <v>90</v>
      </c>
      <c r="E17" s="383">
        <v>1</v>
      </c>
      <c r="F17" s="150"/>
      <c r="G17" s="150"/>
      <c r="H17" s="150"/>
      <c r="I17" s="150"/>
      <c r="J17" s="150"/>
      <c r="K17" s="150"/>
      <c r="L17" s="150"/>
      <c r="M17" s="207"/>
      <c r="N17" s="207"/>
      <c r="O17" s="207"/>
      <c r="P17" s="207"/>
    </row>
    <row r="18" spans="1:18" s="1" customFormat="1">
      <c r="A18" s="370"/>
      <c r="B18" s="370"/>
      <c r="C18" s="371" t="s">
        <v>212</v>
      </c>
      <c r="D18" s="371"/>
      <c r="E18" s="384"/>
      <c r="F18" s="135"/>
      <c r="G18" s="135"/>
      <c r="H18" s="135"/>
      <c r="I18" s="135"/>
      <c r="J18" s="135"/>
      <c r="K18" s="135"/>
      <c r="L18" s="135"/>
      <c r="M18" s="136"/>
      <c r="N18" s="136"/>
      <c r="O18" s="136"/>
      <c r="P18" s="136"/>
    </row>
    <row r="19" spans="1:18" s="1" customFormat="1">
      <c r="A19" s="385">
        <v>5</v>
      </c>
      <c r="B19" s="385" t="s">
        <v>149</v>
      </c>
      <c r="C19" s="386" t="s">
        <v>213</v>
      </c>
      <c r="D19" s="387" t="s">
        <v>90</v>
      </c>
      <c r="E19" s="388">
        <v>1</v>
      </c>
      <c r="F19" s="146"/>
      <c r="G19" s="146"/>
      <c r="H19" s="146"/>
      <c r="I19" s="146"/>
      <c r="J19" s="146"/>
      <c r="K19" s="146"/>
      <c r="L19" s="146"/>
      <c r="M19" s="205"/>
      <c r="N19" s="205"/>
      <c r="O19" s="205"/>
      <c r="P19" s="205"/>
    </row>
    <row r="20" spans="1:18" s="1" customFormat="1">
      <c r="A20" s="348">
        <v>6</v>
      </c>
      <c r="B20" s="348" t="s">
        <v>149</v>
      </c>
      <c r="C20" s="377" t="s">
        <v>214</v>
      </c>
      <c r="D20" s="378" t="s">
        <v>78</v>
      </c>
      <c r="E20" s="379">
        <v>26</v>
      </c>
      <c r="F20" s="145"/>
      <c r="G20" s="145"/>
      <c r="H20" s="145"/>
      <c r="I20" s="145"/>
      <c r="J20" s="145"/>
      <c r="K20" s="145"/>
      <c r="L20" s="145"/>
      <c r="M20" s="204"/>
      <c r="N20" s="204"/>
      <c r="O20" s="204"/>
      <c r="P20" s="204"/>
    </row>
    <row r="21" spans="1:18" s="1" customFormat="1">
      <c r="A21" s="348">
        <f>A20+1</f>
        <v>7</v>
      </c>
      <c r="B21" s="348" t="s">
        <v>149</v>
      </c>
      <c r="C21" s="377" t="s">
        <v>215</v>
      </c>
      <c r="D21" s="378" t="s">
        <v>78</v>
      </c>
      <c r="E21" s="379">
        <v>2</v>
      </c>
      <c r="F21" s="145"/>
      <c r="G21" s="145"/>
      <c r="H21" s="145"/>
      <c r="I21" s="145"/>
      <c r="J21" s="145"/>
      <c r="K21" s="145"/>
      <c r="L21" s="145"/>
      <c r="M21" s="204"/>
      <c r="N21" s="204"/>
      <c r="O21" s="204"/>
      <c r="P21" s="204"/>
    </row>
    <row r="22" spans="1:18" s="1" customFormat="1">
      <c r="A22" s="348">
        <f>A21+1</f>
        <v>8</v>
      </c>
      <c r="B22" s="348" t="s">
        <v>149</v>
      </c>
      <c r="C22" s="377" t="s">
        <v>216</v>
      </c>
      <c r="D22" s="378" t="s">
        <v>78</v>
      </c>
      <c r="E22" s="379">
        <f>E20</f>
        <v>26</v>
      </c>
      <c r="F22" s="145"/>
      <c r="G22" s="145"/>
      <c r="H22" s="145"/>
      <c r="I22" s="145"/>
      <c r="J22" s="145"/>
      <c r="K22" s="145"/>
      <c r="L22" s="145"/>
      <c r="M22" s="204"/>
      <c r="N22" s="204"/>
      <c r="O22" s="204"/>
      <c r="P22" s="204"/>
    </row>
    <row r="23" spans="1:18" s="1" customFormat="1">
      <c r="A23" s="348">
        <f>A22+1</f>
        <v>9</v>
      </c>
      <c r="B23" s="348" t="s">
        <v>149</v>
      </c>
      <c r="C23" s="377" t="s">
        <v>217</v>
      </c>
      <c r="D23" s="378" t="s">
        <v>78</v>
      </c>
      <c r="E23" s="379">
        <f>E20</f>
        <v>26</v>
      </c>
      <c r="F23" s="145"/>
      <c r="G23" s="145"/>
      <c r="H23" s="145"/>
      <c r="I23" s="145"/>
      <c r="J23" s="145"/>
      <c r="K23" s="145"/>
      <c r="L23" s="145"/>
      <c r="M23" s="204"/>
      <c r="N23" s="204"/>
      <c r="O23" s="204"/>
      <c r="P23" s="204"/>
    </row>
    <row r="24" spans="1:18" s="1" customFormat="1">
      <c r="A24" s="380">
        <f>A23+1</f>
        <v>10</v>
      </c>
      <c r="B24" s="380" t="s">
        <v>149</v>
      </c>
      <c r="C24" s="381" t="s">
        <v>218</v>
      </c>
      <c r="D24" s="382" t="s">
        <v>90</v>
      </c>
      <c r="E24" s="383">
        <v>1</v>
      </c>
      <c r="F24" s="150"/>
      <c r="G24" s="150"/>
      <c r="H24" s="150"/>
      <c r="I24" s="150"/>
      <c r="J24" s="150"/>
      <c r="K24" s="150"/>
      <c r="L24" s="150"/>
      <c r="M24" s="207"/>
      <c r="N24" s="207"/>
      <c r="O24" s="207"/>
      <c r="P24" s="207"/>
    </row>
    <row r="25" spans="1:18" s="1" customFormat="1">
      <c r="A25" s="370"/>
      <c r="B25" s="370"/>
      <c r="C25" s="389" t="s">
        <v>219</v>
      </c>
      <c r="D25" s="390"/>
      <c r="E25" s="391"/>
      <c r="F25" s="135"/>
      <c r="G25" s="135"/>
      <c r="H25" s="135"/>
      <c r="I25" s="135"/>
      <c r="J25" s="135"/>
      <c r="K25" s="135"/>
      <c r="L25" s="135"/>
      <c r="M25" s="136"/>
      <c r="N25" s="136"/>
      <c r="O25" s="136"/>
      <c r="P25" s="136"/>
    </row>
    <row r="26" spans="1:18" s="1" customFormat="1">
      <c r="A26" s="385">
        <f>A24+1</f>
        <v>11</v>
      </c>
      <c r="B26" s="385" t="s">
        <v>149</v>
      </c>
      <c r="C26" s="386" t="s">
        <v>110</v>
      </c>
      <c r="D26" s="387" t="s">
        <v>82</v>
      </c>
      <c r="E26" s="388">
        <f>E30/0.1*1.1+E27/0.2*1.1</f>
        <v>127.6</v>
      </c>
      <c r="F26" s="146"/>
      <c r="G26" s="146"/>
      <c r="H26" s="146"/>
      <c r="I26" s="146"/>
      <c r="J26" s="146"/>
      <c r="K26" s="146"/>
      <c r="L26" s="146"/>
      <c r="M26" s="205"/>
      <c r="N26" s="205"/>
      <c r="O26" s="205"/>
      <c r="P26" s="205"/>
    </row>
    <row r="27" spans="1:18" s="1" customFormat="1">
      <c r="A27" s="348">
        <f t="shared" ref="A27:A33" si="0">A26+1</f>
        <v>12</v>
      </c>
      <c r="B27" s="348" t="s">
        <v>149</v>
      </c>
      <c r="C27" s="377" t="s">
        <v>220</v>
      </c>
      <c r="D27" s="378" t="s">
        <v>84</v>
      </c>
      <c r="E27" s="379">
        <v>22.2</v>
      </c>
      <c r="F27" s="145"/>
      <c r="G27" s="145"/>
      <c r="H27" s="145"/>
      <c r="I27" s="145"/>
      <c r="J27" s="145"/>
      <c r="K27" s="145"/>
      <c r="L27" s="145"/>
      <c r="M27" s="204"/>
      <c r="N27" s="204"/>
      <c r="O27" s="204"/>
      <c r="P27" s="204"/>
    </row>
    <row r="28" spans="1:18" s="1" customFormat="1">
      <c r="A28" s="348">
        <f t="shared" si="0"/>
        <v>13</v>
      </c>
      <c r="B28" s="348" t="s">
        <v>149</v>
      </c>
      <c r="C28" s="377" t="s">
        <v>221</v>
      </c>
      <c r="D28" s="378" t="s">
        <v>82</v>
      </c>
      <c r="E28" s="379">
        <v>18.899999999999999</v>
      </c>
      <c r="F28" s="145"/>
      <c r="G28" s="145"/>
      <c r="H28" s="145"/>
      <c r="I28" s="145"/>
      <c r="J28" s="145"/>
      <c r="K28" s="145"/>
      <c r="L28" s="145"/>
      <c r="M28" s="204"/>
      <c r="N28" s="204"/>
      <c r="O28" s="204"/>
      <c r="P28" s="204"/>
    </row>
    <row r="29" spans="1:18" s="1" customFormat="1">
      <c r="A29" s="348">
        <f t="shared" si="0"/>
        <v>14</v>
      </c>
      <c r="B29" s="348" t="s">
        <v>149</v>
      </c>
      <c r="C29" s="377" t="s">
        <v>222</v>
      </c>
      <c r="D29" s="378" t="s">
        <v>83</v>
      </c>
      <c r="E29" s="379">
        <v>24.6</v>
      </c>
      <c r="F29" s="145"/>
      <c r="G29" s="145"/>
      <c r="H29" s="145"/>
      <c r="I29" s="145"/>
      <c r="J29" s="145"/>
      <c r="K29" s="145"/>
      <c r="L29" s="145"/>
      <c r="M29" s="204"/>
      <c r="N29" s="204"/>
      <c r="O29" s="204"/>
      <c r="P29" s="204"/>
    </row>
    <row r="30" spans="1:18" s="1" customFormat="1">
      <c r="A30" s="348">
        <f t="shared" si="0"/>
        <v>15</v>
      </c>
      <c r="B30" s="348" t="s">
        <v>149</v>
      </c>
      <c r="C30" s="377" t="s">
        <v>223</v>
      </c>
      <c r="D30" s="378" t="s">
        <v>1778</v>
      </c>
      <c r="E30" s="379">
        <v>0.5</v>
      </c>
      <c r="F30" s="145"/>
      <c r="G30" s="145"/>
      <c r="H30" s="145"/>
      <c r="I30" s="145"/>
      <c r="J30" s="145"/>
      <c r="K30" s="145"/>
      <c r="L30" s="145"/>
      <c r="M30" s="204"/>
      <c r="N30" s="204"/>
      <c r="O30" s="204"/>
      <c r="P30" s="204"/>
      <c r="R30" s="98"/>
    </row>
    <row r="31" spans="1:18" s="1" customFormat="1" ht="24">
      <c r="A31" s="348">
        <f t="shared" si="0"/>
        <v>16</v>
      </c>
      <c r="B31" s="348" t="s">
        <v>149</v>
      </c>
      <c r="C31" s="377" t="s">
        <v>224</v>
      </c>
      <c r="D31" s="378" t="s">
        <v>1778</v>
      </c>
      <c r="E31" s="379">
        <v>40.5</v>
      </c>
      <c r="F31" s="145"/>
      <c r="G31" s="145"/>
      <c r="H31" s="145"/>
      <c r="I31" s="145"/>
      <c r="J31" s="145"/>
      <c r="K31" s="145"/>
      <c r="L31" s="145"/>
      <c r="M31" s="204"/>
      <c r="N31" s="204"/>
      <c r="O31" s="204"/>
      <c r="P31" s="204"/>
    </row>
    <row r="32" spans="1:18" s="1" customFormat="1">
      <c r="A32" s="348">
        <f t="shared" si="0"/>
        <v>17</v>
      </c>
      <c r="B32" s="348" t="s">
        <v>149</v>
      </c>
      <c r="C32" s="377" t="s">
        <v>225</v>
      </c>
      <c r="D32" s="378" t="s">
        <v>85</v>
      </c>
      <c r="E32" s="379">
        <v>2790</v>
      </c>
      <c r="F32" s="145"/>
      <c r="G32" s="145"/>
      <c r="H32" s="145"/>
      <c r="I32" s="145"/>
      <c r="J32" s="145"/>
      <c r="K32" s="145"/>
      <c r="L32" s="145"/>
      <c r="M32" s="204"/>
      <c r="N32" s="204"/>
      <c r="O32" s="204"/>
      <c r="P32" s="204"/>
      <c r="Q32" s="98"/>
    </row>
    <row r="33" spans="1:16" s="1" customFormat="1">
      <c r="A33" s="373">
        <f t="shared" si="0"/>
        <v>18</v>
      </c>
      <c r="B33" s="373" t="s">
        <v>149</v>
      </c>
      <c r="C33" s="374" t="s">
        <v>226</v>
      </c>
      <c r="D33" s="375" t="s">
        <v>85</v>
      </c>
      <c r="E33" s="376">
        <f>170</f>
        <v>170</v>
      </c>
      <c r="F33" s="153"/>
      <c r="G33" s="153"/>
      <c r="H33" s="153"/>
      <c r="I33" s="153"/>
      <c r="J33" s="153"/>
      <c r="K33" s="153"/>
      <c r="L33" s="153"/>
      <c r="M33" s="208"/>
      <c r="N33" s="208"/>
      <c r="O33" s="208"/>
      <c r="P33" s="208"/>
    </row>
    <row r="34" spans="1:16" ht="15" customHeight="1">
      <c r="A34" s="890" t="s">
        <v>177</v>
      </c>
      <c r="B34" s="890"/>
      <c r="C34" s="890"/>
      <c r="D34" s="890"/>
      <c r="E34" s="890"/>
      <c r="F34" s="890"/>
      <c r="G34" s="890"/>
      <c r="H34" s="890"/>
      <c r="I34" s="890"/>
      <c r="J34" s="890"/>
      <c r="K34" s="890"/>
      <c r="L34" s="131">
        <f>SUM(L13:L33)</f>
        <v>0</v>
      </c>
      <c r="M34" s="131">
        <f>SUM(M13:M33)</f>
        <v>0</v>
      </c>
      <c r="N34" s="131">
        <f>SUM(N13:N33)</f>
        <v>0</v>
      </c>
      <c r="O34" s="131">
        <f>SUM(O13:O33)</f>
        <v>0</v>
      </c>
      <c r="P34" s="131">
        <f>SUM(P13:P33)</f>
        <v>0</v>
      </c>
    </row>
    <row r="35" spans="1:16" s="50" customFormat="1" collapsed="1">
      <c r="A35" s="885" t="s">
        <v>36</v>
      </c>
      <c r="B35" s="885"/>
      <c r="C35" s="1"/>
      <c r="D35" s="1"/>
      <c r="E35" s="98"/>
      <c r="F35" s="1"/>
      <c r="G35" s="1"/>
      <c r="H35" s="1"/>
      <c r="I35" s="1"/>
      <c r="J35" s="1"/>
      <c r="K35" s="1"/>
      <c r="L35" s="1"/>
      <c r="M35" s="1"/>
      <c r="N35" s="1"/>
      <c r="O35" s="1"/>
      <c r="P35" s="1"/>
    </row>
    <row r="36" spans="1:16" s="1" customFormat="1" ht="12.75" customHeight="1">
      <c r="A36" s="886" t="s">
        <v>56</v>
      </c>
      <c r="B36" s="886"/>
      <c r="C36" s="886"/>
      <c r="D36" s="886"/>
      <c r="E36" s="886"/>
      <c r="F36" s="886"/>
      <c r="G36" s="886"/>
      <c r="H36" s="886"/>
      <c r="I36" s="886"/>
      <c r="J36" s="886"/>
      <c r="K36" s="886"/>
      <c r="L36" s="886"/>
      <c r="M36" s="886"/>
      <c r="N36" s="886"/>
      <c r="O36" s="886"/>
      <c r="P36" s="886"/>
    </row>
    <row r="37" spans="1:16" s="1" customFormat="1" ht="12.75" customHeight="1">
      <c r="A37" s="889"/>
      <c r="B37" s="889"/>
      <c r="C37" s="9"/>
      <c r="D37" s="9"/>
      <c r="E37" s="111"/>
      <c r="F37" s="9"/>
      <c r="G37" s="9"/>
      <c r="H37" s="9"/>
      <c r="I37" s="9"/>
      <c r="J37" s="9"/>
      <c r="K37" s="9"/>
      <c r="L37" s="50">
        <f>Koptame!A218</f>
        <v>0</v>
      </c>
      <c r="M37" s="50"/>
      <c r="N37" s="50"/>
      <c r="O37" s="50"/>
      <c r="P37" s="50"/>
    </row>
    <row r="38" spans="1:16" s="1" customFormat="1" ht="12.75" customHeight="1">
      <c r="A38" s="889" t="s">
        <v>7</v>
      </c>
      <c r="B38" s="889"/>
      <c r="C38" s="307"/>
      <c r="D38" s="9"/>
      <c r="E38" s="111"/>
      <c r="F38" s="9"/>
      <c r="G38" s="9"/>
      <c r="H38" s="9"/>
      <c r="I38" s="9"/>
      <c r="J38" s="9"/>
      <c r="K38" s="9"/>
      <c r="L38" s="307"/>
      <c r="M38" s="887">
        <f>Koptame!B219</f>
        <v>0</v>
      </c>
      <c r="N38" s="887"/>
      <c r="O38" s="50"/>
      <c r="P38" s="50"/>
    </row>
    <row r="39" spans="1:16" s="1" customFormat="1" ht="12.75" customHeight="1">
      <c r="B39" s="58"/>
      <c r="E39" s="98"/>
    </row>
    <row r="40" spans="1:16" s="50" customFormat="1">
      <c r="A40" s="69"/>
      <c r="B40" s="69"/>
      <c r="C40" s="69"/>
      <c r="D40" s="69"/>
      <c r="E40" s="112"/>
      <c r="F40" s="69"/>
      <c r="G40" s="69"/>
      <c r="H40" s="69"/>
      <c r="I40" s="69"/>
      <c r="J40" s="69"/>
      <c r="K40" s="69"/>
      <c r="L40" s="69"/>
      <c r="M40" s="69"/>
      <c r="N40" s="69"/>
      <c r="O40" s="69"/>
      <c r="P40" s="69"/>
    </row>
    <row r="41" spans="1:16" s="50" customFormat="1">
      <c r="A41" s="69"/>
      <c r="B41" s="69"/>
      <c r="C41" s="311"/>
      <c r="D41" s="69"/>
      <c r="E41" s="112"/>
      <c r="F41" s="69"/>
      <c r="G41" s="69"/>
      <c r="H41" s="69"/>
      <c r="I41" s="69"/>
      <c r="J41" s="69"/>
      <c r="K41" s="69"/>
      <c r="L41" s="311"/>
      <c r="M41" s="901"/>
      <c r="N41" s="901"/>
      <c r="O41" s="69"/>
      <c r="P41" s="69"/>
    </row>
    <row r="42" spans="1:16" s="50" customFormat="1">
      <c r="A42" s="69"/>
      <c r="B42" s="69"/>
      <c r="C42" s="310"/>
      <c r="D42" s="69"/>
      <c r="E42" s="112"/>
      <c r="F42" s="69"/>
      <c r="G42" s="69"/>
      <c r="H42" s="69"/>
      <c r="I42" s="69"/>
      <c r="J42" s="69"/>
      <c r="K42" s="69"/>
      <c r="L42" s="310"/>
      <c r="M42" s="900"/>
      <c r="N42" s="900"/>
      <c r="O42" s="69"/>
      <c r="P42" s="69"/>
    </row>
    <row r="43" spans="1:16" s="50" customFormat="1" collapsed="1">
      <c r="A43" s="69"/>
      <c r="B43" s="70"/>
      <c r="C43" s="69"/>
      <c r="D43" s="69"/>
      <c r="E43" s="112"/>
      <c r="F43" s="70"/>
      <c r="G43" s="70"/>
      <c r="H43" s="69"/>
      <c r="I43" s="69"/>
      <c r="J43" s="69"/>
      <c r="K43" s="69"/>
      <c r="L43" s="69"/>
      <c r="M43" s="69"/>
      <c r="N43" s="69"/>
      <c r="O43" s="69"/>
      <c r="P43" s="69"/>
    </row>
    <row r="44" spans="1:16">
      <c r="A44" s="71"/>
      <c r="B44" s="71"/>
      <c r="C44" s="71"/>
      <c r="D44" s="71"/>
      <c r="E44" s="113"/>
      <c r="F44" s="71"/>
      <c r="G44" s="71"/>
      <c r="H44" s="71"/>
      <c r="I44" s="72"/>
      <c r="J44" s="71"/>
      <c r="K44" s="71"/>
      <c r="L44" s="71"/>
      <c r="M44" s="71"/>
      <c r="N44" s="71"/>
      <c r="O44" s="71"/>
      <c r="P44" s="71"/>
    </row>
    <row r="45" spans="1:16">
      <c r="A45" s="71"/>
      <c r="B45" s="71"/>
      <c r="C45" s="71"/>
      <c r="D45" s="71"/>
      <c r="E45" s="113"/>
      <c r="F45" s="71"/>
      <c r="G45" s="71"/>
      <c r="H45" s="71"/>
      <c r="I45" s="72"/>
      <c r="J45" s="71"/>
      <c r="K45" s="71"/>
      <c r="L45" s="71"/>
      <c r="M45" s="71"/>
      <c r="N45" s="71"/>
      <c r="O45" s="71"/>
      <c r="P45" s="71"/>
    </row>
    <row r="46" spans="1:16">
      <c r="A46" s="71"/>
      <c r="B46" s="71"/>
      <c r="C46" s="71"/>
      <c r="D46" s="71"/>
      <c r="E46" s="113"/>
      <c r="F46" s="71"/>
      <c r="G46" s="71"/>
      <c r="H46" s="71"/>
      <c r="I46" s="72"/>
      <c r="J46" s="71"/>
      <c r="K46" s="71"/>
      <c r="L46" s="71"/>
      <c r="M46" s="71"/>
      <c r="N46" s="71"/>
      <c r="O46" s="71"/>
      <c r="P46" s="71"/>
    </row>
    <row r="47" spans="1:16">
      <c r="A47" s="71"/>
      <c r="B47" s="71"/>
      <c r="C47" s="71"/>
      <c r="D47" s="71"/>
      <c r="E47" s="113"/>
      <c r="F47" s="71"/>
      <c r="G47" s="71"/>
      <c r="H47" s="71"/>
      <c r="I47" s="72"/>
      <c r="J47" s="71"/>
      <c r="K47" s="71"/>
      <c r="L47" s="71"/>
      <c r="M47" s="71"/>
      <c r="N47" s="71"/>
      <c r="O47" s="71"/>
      <c r="P47" s="71"/>
    </row>
    <row r="48" spans="1:16">
      <c r="A48" s="71"/>
      <c r="B48" s="71"/>
      <c r="C48" s="71"/>
      <c r="D48" s="71"/>
      <c r="E48" s="113"/>
      <c r="F48" s="71"/>
      <c r="G48" s="71"/>
      <c r="H48" s="71"/>
      <c r="I48" s="72"/>
      <c r="J48" s="71"/>
      <c r="K48" s="71"/>
      <c r="L48" s="71"/>
      <c r="M48" s="71"/>
      <c r="N48" s="71"/>
      <c r="O48" s="71"/>
      <c r="P48" s="71"/>
    </row>
  </sheetData>
  <mergeCells count="27">
    <mergeCell ref="M42:N42"/>
    <mergeCell ref="M41:N41"/>
    <mergeCell ref="A38:B38"/>
    <mergeCell ref="M38:N38"/>
    <mergeCell ref="A35:B35"/>
    <mergeCell ref="A36:P36"/>
    <mergeCell ref="A1:P1"/>
    <mergeCell ref="A3:B3"/>
    <mergeCell ref="C3:P3"/>
    <mergeCell ref="A4:B4"/>
    <mergeCell ref="C4:P4"/>
    <mergeCell ref="A2:P2"/>
    <mergeCell ref="L10:P10"/>
    <mergeCell ref="A37:B37"/>
    <mergeCell ref="A34:K34"/>
    <mergeCell ref="A10:A11"/>
    <mergeCell ref="B10:B11"/>
    <mergeCell ref="C10:C11"/>
    <mergeCell ref="D10:D11"/>
    <mergeCell ref="E10:E11"/>
    <mergeCell ref="F10:K10"/>
    <mergeCell ref="A5:B5"/>
    <mergeCell ref="C5:P5"/>
    <mergeCell ref="A6:B6"/>
    <mergeCell ref="C6:P6"/>
    <mergeCell ref="A7:B7"/>
    <mergeCell ref="C7:P7"/>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ignoredErrors>
    <ignoredError sqref="L34:P3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P130"/>
  <sheetViews>
    <sheetView showZeros="0" zoomScale="75" zoomScaleNormal="75" zoomScaleSheetLayoutView="90" workbookViewId="0">
      <selection activeCell="E12" sqref="E12"/>
    </sheetView>
  </sheetViews>
  <sheetFormatPr defaultColWidth="9.140625" defaultRowHeight="15"/>
  <cols>
    <col min="1" max="1" width="8.85546875" style="80" customWidth="1"/>
    <col min="2" max="2" width="11.7109375" style="80" customWidth="1"/>
    <col min="3" max="3" width="45.5703125" style="46" customWidth="1"/>
    <col min="4" max="4" width="8.7109375" style="46" customWidth="1"/>
    <col min="5" max="5" width="8.7109375" style="321" customWidth="1"/>
    <col min="6" max="11" width="8.7109375" style="46" customWidth="1"/>
    <col min="12" max="16" width="12.7109375" style="46" customWidth="1"/>
    <col min="17" max="16384" width="9.140625" style="46"/>
  </cols>
  <sheetData>
    <row r="1" spans="1:16" s="45" customFormat="1" ht="15.75">
      <c r="A1" s="891" t="s">
        <v>113</v>
      </c>
      <c r="B1" s="891"/>
      <c r="C1" s="891"/>
      <c r="D1" s="891"/>
      <c r="E1" s="891"/>
      <c r="F1" s="891"/>
      <c r="G1" s="891"/>
      <c r="H1" s="891"/>
      <c r="I1" s="891"/>
      <c r="J1" s="891"/>
      <c r="K1" s="891"/>
      <c r="L1" s="891"/>
      <c r="M1" s="891"/>
      <c r="N1" s="891"/>
      <c r="O1" s="891"/>
      <c r="P1" s="891"/>
    </row>
    <row r="2" spans="1:16" s="45" customFormat="1" ht="15.75">
      <c r="A2" s="899" t="s">
        <v>130</v>
      </c>
      <c r="B2" s="899"/>
      <c r="C2" s="899"/>
      <c r="D2" s="899"/>
      <c r="E2" s="899"/>
      <c r="F2" s="899"/>
      <c r="G2" s="899"/>
      <c r="H2" s="899"/>
      <c r="I2" s="899"/>
      <c r="J2" s="899"/>
      <c r="K2" s="899"/>
      <c r="L2" s="899"/>
      <c r="M2" s="899"/>
      <c r="N2" s="899"/>
      <c r="O2" s="899"/>
      <c r="P2" s="899"/>
    </row>
    <row r="3" spans="1:16" s="45" customFormat="1" ht="15.6" customHeight="1">
      <c r="A3" s="876" t="s">
        <v>10</v>
      </c>
      <c r="B3" s="876"/>
      <c r="C3" s="859" t="s">
        <v>117</v>
      </c>
      <c r="D3" s="859"/>
      <c r="E3" s="859"/>
      <c r="F3" s="859"/>
      <c r="G3" s="859"/>
      <c r="H3" s="859"/>
      <c r="I3" s="859"/>
      <c r="J3" s="859"/>
      <c r="K3" s="859"/>
      <c r="L3" s="859"/>
      <c r="M3" s="859"/>
      <c r="N3" s="859"/>
      <c r="O3" s="859"/>
      <c r="P3" s="859"/>
    </row>
    <row r="4" spans="1:16" s="45" customFormat="1" ht="15.6" customHeight="1">
      <c r="A4" s="876" t="s">
        <v>11</v>
      </c>
      <c r="B4" s="876"/>
      <c r="C4" s="859" t="s">
        <v>118</v>
      </c>
      <c r="D4" s="859"/>
      <c r="E4" s="859"/>
      <c r="F4" s="859"/>
      <c r="G4" s="859"/>
      <c r="H4" s="859"/>
      <c r="I4" s="859"/>
      <c r="J4" s="859"/>
      <c r="K4" s="859"/>
      <c r="L4" s="859"/>
      <c r="M4" s="859"/>
      <c r="N4" s="859"/>
      <c r="O4" s="859"/>
      <c r="P4" s="859"/>
    </row>
    <row r="5" spans="1:16" s="45" customFormat="1" ht="15.75">
      <c r="A5" s="876" t="s">
        <v>12</v>
      </c>
      <c r="B5" s="876"/>
      <c r="C5" s="859" t="s">
        <v>50</v>
      </c>
      <c r="D5" s="859"/>
      <c r="E5" s="859"/>
      <c r="F5" s="859"/>
      <c r="G5" s="859"/>
      <c r="H5" s="859"/>
      <c r="I5" s="859"/>
      <c r="J5" s="859"/>
      <c r="K5" s="859"/>
      <c r="L5" s="859"/>
      <c r="M5" s="859"/>
      <c r="N5" s="859"/>
      <c r="O5" s="859"/>
      <c r="P5" s="859"/>
    </row>
    <row r="6" spans="1:16" s="45" customFormat="1" ht="15.75">
      <c r="A6" s="876" t="s">
        <v>30</v>
      </c>
      <c r="B6" s="876"/>
      <c r="C6" s="874"/>
      <c r="D6" s="874"/>
      <c r="E6" s="874"/>
      <c r="F6" s="874"/>
      <c r="G6" s="874"/>
      <c r="H6" s="874"/>
      <c r="I6" s="874"/>
      <c r="J6" s="874"/>
      <c r="K6" s="874"/>
      <c r="L6" s="874"/>
      <c r="M6" s="874"/>
      <c r="N6" s="874"/>
      <c r="O6" s="874"/>
      <c r="P6" s="874"/>
    </row>
    <row r="7" spans="1:16" s="45" customFormat="1" ht="15.75">
      <c r="A7" s="876" t="s">
        <v>54</v>
      </c>
      <c r="B7" s="876"/>
      <c r="C7" s="873"/>
      <c r="D7" s="873"/>
      <c r="E7" s="873"/>
      <c r="F7" s="873"/>
      <c r="G7" s="873"/>
      <c r="H7" s="873"/>
      <c r="I7" s="873"/>
      <c r="J7" s="873"/>
      <c r="K7" s="873"/>
      <c r="L7" s="873"/>
      <c r="M7" s="873"/>
      <c r="N7" s="873"/>
      <c r="O7" s="873"/>
      <c r="P7" s="873"/>
    </row>
    <row r="8" spans="1:16" s="45" customFormat="1" ht="15.75">
      <c r="A8" s="73"/>
      <c r="B8" s="73"/>
      <c r="C8" s="73"/>
      <c r="D8" s="73"/>
      <c r="E8" s="104"/>
      <c r="F8" s="73"/>
      <c r="G8" s="73"/>
      <c r="H8" s="73"/>
      <c r="I8" s="73"/>
      <c r="J8" s="73"/>
      <c r="K8" s="73"/>
      <c r="L8" s="66"/>
      <c r="M8" s="66"/>
      <c r="N8" s="74"/>
      <c r="O8" s="63" t="s">
        <v>52</v>
      </c>
      <c r="P8" s="75">
        <f>P121</f>
        <v>0</v>
      </c>
    </row>
    <row r="9" spans="1:16">
      <c r="A9" s="46"/>
      <c r="B9" s="46"/>
    </row>
    <row r="10" spans="1:16" ht="14.25" customHeight="1">
      <c r="A10" s="879" t="s">
        <v>14</v>
      </c>
      <c r="B10" s="880" t="s">
        <v>21</v>
      </c>
      <c r="C10" s="882" t="s">
        <v>22</v>
      </c>
      <c r="D10" s="883" t="s">
        <v>23</v>
      </c>
      <c r="E10" s="884" t="s">
        <v>24</v>
      </c>
      <c r="F10" s="888" t="s">
        <v>25</v>
      </c>
      <c r="G10" s="888"/>
      <c r="H10" s="888"/>
      <c r="I10" s="888"/>
      <c r="J10" s="888"/>
      <c r="K10" s="888"/>
      <c r="L10" s="888" t="s">
        <v>26</v>
      </c>
      <c r="M10" s="888"/>
      <c r="N10" s="888"/>
      <c r="O10" s="888"/>
      <c r="P10" s="888"/>
    </row>
    <row r="11" spans="1:16" ht="73.5" customHeight="1">
      <c r="A11" s="879"/>
      <c r="B11" s="881"/>
      <c r="C11" s="882"/>
      <c r="D11" s="883"/>
      <c r="E11" s="884"/>
      <c r="F11" s="306" t="s">
        <v>27</v>
      </c>
      <c r="G11" s="306" t="s">
        <v>37</v>
      </c>
      <c r="H11" s="306" t="s">
        <v>38</v>
      </c>
      <c r="I11" s="306" t="s">
        <v>39</v>
      </c>
      <c r="J11" s="306" t="s">
        <v>40</v>
      </c>
      <c r="K11" s="306" t="s">
        <v>41</v>
      </c>
      <c r="L11" s="306" t="s">
        <v>18</v>
      </c>
      <c r="M11" s="306" t="s">
        <v>38</v>
      </c>
      <c r="N11" s="306" t="s">
        <v>39</v>
      </c>
      <c r="O11" s="306" t="s">
        <v>40</v>
      </c>
      <c r="P11" s="306" t="s">
        <v>42</v>
      </c>
    </row>
    <row r="12" spans="1:16">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6" s="49" customFormat="1">
      <c r="A13" s="370"/>
      <c r="B13" s="370"/>
      <c r="C13" s="392" t="s">
        <v>227</v>
      </c>
      <c r="D13" s="392"/>
      <c r="E13" s="393"/>
      <c r="F13" s="135"/>
      <c r="G13" s="135"/>
      <c r="H13" s="135">
        <f>ROUND(F13*G13,2)</f>
        <v>0</v>
      </c>
      <c r="I13" s="135"/>
      <c r="J13" s="135"/>
      <c r="K13" s="135">
        <f t="shared" ref="K13" si="0">SUM(H13:J13)</f>
        <v>0</v>
      </c>
      <c r="L13" s="135">
        <f t="shared" ref="L13" si="1">ROUND(F13*E13,2)</f>
        <v>0</v>
      </c>
      <c r="M13" s="136">
        <f t="shared" ref="M13" si="2">ROUND(H13*E13,2)</f>
        <v>0</v>
      </c>
      <c r="N13" s="136">
        <f t="shared" ref="N13" si="3">ROUND(I13*E13,2)</f>
        <v>0</v>
      </c>
      <c r="O13" s="136">
        <f t="shared" ref="O13" si="4">ROUND(J13*E13,2)</f>
        <v>0</v>
      </c>
      <c r="P13" s="136">
        <f t="shared" ref="P13" si="5">SUM(M13:O13)</f>
        <v>0</v>
      </c>
    </row>
    <row r="14" spans="1:16" s="49" customFormat="1" ht="89.25">
      <c r="A14" s="344">
        <v>1</v>
      </c>
      <c r="B14" s="344" t="s">
        <v>149</v>
      </c>
      <c r="C14" s="359" t="s">
        <v>228</v>
      </c>
      <c r="D14" s="394" t="s">
        <v>115</v>
      </c>
      <c r="E14" s="361">
        <v>75</v>
      </c>
      <c r="F14" s="153"/>
      <c r="G14" s="153"/>
      <c r="H14" s="153"/>
      <c r="I14" s="153"/>
      <c r="J14" s="153"/>
      <c r="K14" s="153"/>
      <c r="L14" s="153"/>
      <c r="M14" s="208"/>
      <c r="N14" s="208"/>
      <c r="O14" s="208"/>
      <c r="P14" s="208"/>
    </row>
    <row r="15" spans="1:16" s="49" customFormat="1" ht="51">
      <c r="A15" s="348">
        <f t="shared" ref="A15:A27" si="6">A14+1</f>
        <v>2</v>
      </c>
      <c r="B15" s="348" t="s">
        <v>149</v>
      </c>
      <c r="C15" s="362" t="s">
        <v>229</v>
      </c>
      <c r="D15" s="355" t="s">
        <v>82</v>
      </c>
      <c r="E15" s="364">
        <v>255</v>
      </c>
      <c r="F15" s="145"/>
      <c r="G15" s="145"/>
      <c r="H15" s="145"/>
      <c r="I15" s="145"/>
      <c r="J15" s="145"/>
      <c r="K15" s="145"/>
      <c r="L15" s="145"/>
      <c r="M15" s="204"/>
      <c r="N15" s="204"/>
      <c r="O15" s="204"/>
      <c r="P15" s="204"/>
    </row>
    <row r="16" spans="1:16" s="49" customFormat="1" ht="38.25">
      <c r="A16" s="348">
        <f t="shared" si="6"/>
        <v>3</v>
      </c>
      <c r="B16" s="348" t="s">
        <v>149</v>
      </c>
      <c r="C16" s="362" t="s">
        <v>230</v>
      </c>
      <c r="D16" s="355" t="s">
        <v>82</v>
      </c>
      <c r="E16" s="364">
        <v>60</v>
      </c>
      <c r="F16" s="145"/>
      <c r="G16" s="145"/>
      <c r="H16" s="145"/>
      <c r="I16" s="145"/>
      <c r="J16" s="145"/>
      <c r="K16" s="145"/>
      <c r="L16" s="145"/>
      <c r="M16" s="204"/>
      <c r="N16" s="204"/>
      <c r="O16" s="204"/>
      <c r="P16" s="204"/>
    </row>
    <row r="17" spans="1:16" s="49" customFormat="1" ht="89.25">
      <c r="A17" s="348">
        <f t="shared" si="6"/>
        <v>4</v>
      </c>
      <c r="B17" s="348" t="s">
        <v>149</v>
      </c>
      <c r="C17" s="362" t="s">
        <v>231</v>
      </c>
      <c r="D17" s="355" t="s">
        <v>115</v>
      </c>
      <c r="E17" s="364">
        <v>16</v>
      </c>
      <c r="F17" s="145"/>
      <c r="G17" s="145"/>
      <c r="H17" s="145"/>
      <c r="I17" s="145"/>
      <c r="J17" s="145"/>
      <c r="K17" s="145"/>
      <c r="L17" s="145"/>
      <c r="M17" s="204"/>
      <c r="N17" s="204"/>
      <c r="O17" s="204"/>
      <c r="P17" s="204"/>
    </row>
    <row r="18" spans="1:16" s="49" customFormat="1" ht="51">
      <c r="A18" s="348">
        <f t="shared" si="6"/>
        <v>5</v>
      </c>
      <c r="B18" s="348" t="s">
        <v>149</v>
      </c>
      <c r="C18" s="362" t="s">
        <v>229</v>
      </c>
      <c r="D18" s="355" t="s">
        <v>82</v>
      </c>
      <c r="E18" s="364">
        <v>24</v>
      </c>
      <c r="F18" s="145"/>
      <c r="G18" s="145"/>
      <c r="H18" s="145"/>
      <c r="I18" s="145"/>
      <c r="J18" s="145"/>
      <c r="K18" s="145"/>
      <c r="L18" s="145"/>
      <c r="M18" s="204"/>
      <c r="N18" s="204"/>
      <c r="O18" s="204"/>
      <c r="P18" s="204"/>
    </row>
    <row r="19" spans="1:16" s="49" customFormat="1" ht="38.25">
      <c r="A19" s="348">
        <f t="shared" si="6"/>
        <v>6</v>
      </c>
      <c r="B19" s="348" t="s">
        <v>149</v>
      </c>
      <c r="C19" s="362" t="s">
        <v>230</v>
      </c>
      <c r="D19" s="355" t="s">
        <v>82</v>
      </c>
      <c r="E19" s="364">
        <v>16</v>
      </c>
      <c r="F19" s="145"/>
      <c r="G19" s="145"/>
      <c r="H19" s="145"/>
      <c r="I19" s="145"/>
      <c r="J19" s="145"/>
      <c r="K19" s="145"/>
      <c r="L19" s="145"/>
      <c r="M19" s="204"/>
      <c r="N19" s="204"/>
      <c r="O19" s="204"/>
      <c r="P19" s="204"/>
    </row>
    <row r="20" spans="1:16" s="49" customFormat="1" ht="25.5">
      <c r="A20" s="348">
        <f t="shared" si="6"/>
        <v>7</v>
      </c>
      <c r="B20" s="348" t="s">
        <v>149</v>
      </c>
      <c r="C20" s="362" t="s">
        <v>232</v>
      </c>
      <c r="D20" s="355" t="s">
        <v>82</v>
      </c>
      <c r="E20" s="364">
        <v>32</v>
      </c>
      <c r="F20" s="145"/>
      <c r="G20" s="145"/>
      <c r="H20" s="145"/>
      <c r="I20" s="145"/>
      <c r="J20" s="145"/>
      <c r="K20" s="145"/>
      <c r="L20" s="145"/>
      <c r="M20" s="204"/>
      <c r="N20" s="204"/>
      <c r="O20" s="204"/>
      <c r="P20" s="204"/>
    </row>
    <row r="21" spans="1:16" s="49" customFormat="1" ht="89.25">
      <c r="A21" s="348">
        <f t="shared" si="6"/>
        <v>8</v>
      </c>
      <c r="B21" s="348" t="s">
        <v>149</v>
      </c>
      <c r="C21" s="362" t="s">
        <v>233</v>
      </c>
      <c r="D21" s="355" t="s">
        <v>115</v>
      </c>
      <c r="E21" s="364">
        <v>30</v>
      </c>
      <c r="F21" s="145"/>
      <c r="G21" s="145"/>
      <c r="H21" s="145"/>
      <c r="I21" s="145"/>
      <c r="J21" s="145"/>
      <c r="K21" s="145"/>
      <c r="L21" s="145"/>
      <c r="M21" s="204"/>
      <c r="N21" s="204"/>
      <c r="O21" s="204"/>
      <c r="P21" s="204"/>
    </row>
    <row r="22" spans="1:16" s="49" customFormat="1" ht="25.5">
      <c r="A22" s="348">
        <f t="shared" si="6"/>
        <v>9</v>
      </c>
      <c r="B22" s="348" t="s">
        <v>149</v>
      </c>
      <c r="C22" s="362" t="s">
        <v>232</v>
      </c>
      <c r="D22" s="355" t="s">
        <v>82</v>
      </c>
      <c r="E22" s="364">
        <v>78</v>
      </c>
      <c r="F22" s="145"/>
      <c r="G22" s="145"/>
      <c r="H22" s="145"/>
      <c r="I22" s="145"/>
      <c r="J22" s="145"/>
      <c r="K22" s="145"/>
      <c r="L22" s="145"/>
      <c r="M22" s="204"/>
      <c r="N22" s="204"/>
      <c r="O22" s="204"/>
      <c r="P22" s="204"/>
    </row>
    <row r="23" spans="1:16" s="49" customFormat="1" ht="89.25">
      <c r="A23" s="348">
        <f t="shared" si="6"/>
        <v>10</v>
      </c>
      <c r="B23" s="348" t="s">
        <v>149</v>
      </c>
      <c r="C23" s="362" t="s">
        <v>234</v>
      </c>
      <c r="D23" s="355" t="s">
        <v>115</v>
      </c>
      <c r="E23" s="364">
        <f>192</f>
        <v>192</v>
      </c>
      <c r="F23" s="145"/>
      <c r="G23" s="145"/>
      <c r="H23" s="145"/>
      <c r="I23" s="145"/>
      <c r="J23" s="145"/>
      <c r="K23" s="145"/>
      <c r="L23" s="145"/>
      <c r="M23" s="204"/>
      <c r="N23" s="204"/>
      <c r="O23" s="204"/>
      <c r="P23" s="204"/>
    </row>
    <row r="24" spans="1:16" s="49" customFormat="1" ht="89.25">
      <c r="A24" s="348">
        <f t="shared" si="6"/>
        <v>11</v>
      </c>
      <c r="B24" s="348" t="s">
        <v>149</v>
      </c>
      <c r="C24" s="362" t="s">
        <v>235</v>
      </c>
      <c r="D24" s="355" t="s">
        <v>115</v>
      </c>
      <c r="E24" s="364">
        <v>26</v>
      </c>
      <c r="F24" s="145"/>
      <c r="G24" s="145"/>
      <c r="H24" s="145"/>
      <c r="I24" s="145"/>
      <c r="J24" s="145"/>
      <c r="K24" s="145"/>
      <c r="L24" s="145"/>
      <c r="M24" s="204"/>
      <c r="N24" s="204"/>
      <c r="O24" s="204"/>
      <c r="P24" s="204"/>
    </row>
    <row r="25" spans="1:16" s="49" customFormat="1" ht="89.25">
      <c r="A25" s="348">
        <f t="shared" si="6"/>
        <v>12</v>
      </c>
      <c r="B25" s="348" t="s">
        <v>149</v>
      </c>
      <c r="C25" s="362" t="s">
        <v>236</v>
      </c>
      <c r="D25" s="355" t="s">
        <v>115</v>
      </c>
      <c r="E25" s="364">
        <v>11</v>
      </c>
      <c r="F25" s="145"/>
      <c r="G25" s="145"/>
      <c r="H25" s="145"/>
      <c r="I25" s="145"/>
      <c r="J25" s="145"/>
      <c r="K25" s="145"/>
      <c r="L25" s="145"/>
      <c r="M25" s="204"/>
      <c r="N25" s="204"/>
      <c r="O25" s="204"/>
      <c r="P25" s="204"/>
    </row>
    <row r="26" spans="1:16" s="49" customFormat="1" ht="51">
      <c r="A26" s="348">
        <f t="shared" si="6"/>
        <v>13</v>
      </c>
      <c r="B26" s="348" t="s">
        <v>149</v>
      </c>
      <c r="C26" s="362" t="s">
        <v>229</v>
      </c>
      <c r="D26" s="355" t="s">
        <v>82</v>
      </c>
      <c r="E26" s="364">
        <v>17</v>
      </c>
      <c r="F26" s="145"/>
      <c r="G26" s="145"/>
      <c r="H26" s="145"/>
      <c r="I26" s="145"/>
      <c r="J26" s="145"/>
      <c r="K26" s="145"/>
      <c r="L26" s="145"/>
      <c r="M26" s="204"/>
      <c r="N26" s="204"/>
      <c r="O26" s="204"/>
      <c r="P26" s="204"/>
    </row>
    <row r="27" spans="1:16" s="49" customFormat="1">
      <c r="A27" s="348">
        <f t="shared" si="6"/>
        <v>14</v>
      </c>
      <c r="B27" s="348" t="s">
        <v>149</v>
      </c>
      <c r="C27" s="362" t="s">
        <v>237</v>
      </c>
      <c r="D27" s="355" t="s">
        <v>82</v>
      </c>
      <c r="E27" s="364">
        <v>24</v>
      </c>
      <c r="F27" s="145"/>
      <c r="G27" s="145"/>
      <c r="H27" s="145"/>
      <c r="I27" s="145"/>
      <c r="J27" s="145"/>
      <c r="K27" s="145"/>
      <c r="L27" s="145"/>
      <c r="M27" s="204"/>
      <c r="N27" s="204"/>
      <c r="O27" s="204"/>
      <c r="P27" s="204"/>
    </row>
    <row r="28" spans="1:16" s="49" customFormat="1">
      <c r="A28" s="370"/>
      <c r="B28" s="370"/>
      <c r="C28" s="392" t="s">
        <v>238</v>
      </c>
      <c r="D28" s="392"/>
      <c r="E28" s="393"/>
      <c r="F28" s="135"/>
      <c r="G28" s="135"/>
      <c r="H28" s="135"/>
      <c r="I28" s="135"/>
      <c r="J28" s="135"/>
      <c r="K28" s="135"/>
      <c r="L28" s="135"/>
      <c r="M28" s="136"/>
      <c r="N28" s="136"/>
      <c r="O28" s="136"/>
      <c r="P28" s="136"/>
    </row>
    <row r="29" spans="1:16" s="49" customFormat="1" ht="25.5">
      <c r="A29" s="385">
        <f>A27+1</f>
        <v>15</v>
      </c>
      <c r="B29" s="385" t="s">
        <v>149</v>
      </c>
      <c r="C29" s="395" t="s">
        <v>239</v>
      </c>
      <c r="D29" s="396" t="s">
        <v>85</v>
      </c>
      <c r="E29" s="397">
        <f>SUM(E30:E33)</f>
        <v>4215</v>
      </c>
      <c r="F29" s="146"/>
      <c r="G29" s="146"/>
      <c r="H29" s="146"/>
      <c r="I29" s="146"/>
      <c r="J29" s="146"/>
      <c r="K29" s="146"/>
      <c r="L29" s="146"/>
      <c r="M29" s="205"/>
      <c r="N29" s="205"/>
      <c r="O29" s="205"/>
      <c r="P29" s="205"/>
    </row>
    <row r="30" spans="1:16" s="49" customFormat="1" ht="25.5">
      <c r="A30" s="348">
        <f>A29+1</f>
        <v>16</v>
      </c>
      <c r="B30" s="348"/>
      <c r="C30" s="398" t="s">
        <v>240</v>
      </c>
      <c r="D30" s="355" t="s">
        <v>85</v>
      </c>
      <c r="E30" s="364">
        <v>305</v>
      </c>
      <c r="F30" s="145"/>
      <c r="G30" s="145"/>
      <c r="H30" s="145"/>
      <c r="I30" s="145"/>
      <c r="J30" s="145"/>
      <c r="K30" s="145"/>
      <c r="L30" s="145"/>
      <c r="M30" s="204"/>
      <c r="N30" s="204"/>
      <c r="O30" s="204"/>
      <c r="P30" s="204"/>
    </row>
    <row r="31" spans="1:16" s="49" customFormat="1" ht="25.5">
      <c r="A31" s="348">
        <f t="shared" ref="A31:A42" si="7">A30+1</f>
        <v>17</v>
      </c>
      <c r="B31" s="348"/>
      <c r="C31" s="398" t="s">
        <v>241</v>
      </c>
      <c r="D31" s="355" t="s">
        <v>85</v>
      </c>
      <c r="E31" s="364">
        <v>3450</v>
      </c>
      <c r="F31" s="145"/>
      <c r="G31" s="145"/>
      <c r="H31" s="145"/>
      <c r="I31" s="145"/>
      <c r="J31" s="145"/>
      <c r="K31" s="145"/>
      <c r="L31" s="145"/>
      <c r="M31" s="204"/>
      <c r="N31" s="204"/>
      <c r="O31" s="204"/>
      <c r="P31" s="204"/>
    </row>
    <row r="32" spans="1:16" s="49" customFormat="1" ht="25.5">
      <c r="A32" s="348">
        <f t="shared" si="7"/>
        <v>18</v>
      </c>
      <c r="B32" s="348"/>
      <c r="C32" s="398" t="s">
        <v>242</v>
      </c>
      <c r="D32" s="355" t="s">
        <v>85</v>
      </c>
      <c r="E32" s="364">
        <v>370</v>
      </c>
      <c r="F32" s="145"/>
      <c r="G32" s="145"/>
      <c r="H32" s="145"/>
      <c r="I32" s="145"/>
      <c r="J32" s="145"/>
      <c r="K32" s="145"/>
      <c r="L32" s="145"/>
      <c r="M32" s="204"/>
      <c r="N32" s="204"/>
      <c r="O32" s="204"/>
      <c r="P32" s="204"/>
    </row>
    <row r="33" spans="1:16" s="49" customFormat="1" ht="25.5">
      <c r="A33" s="348">
        <f t="shared" si="7"/>
        <v>19</v>
      </c>
      <c r="B33" s="348"/>
      <c r="C33" s="398" t="s">
        <v>243</v>
      </c>
      <c r="D33" s="355" t="s">
        <v>85</v>
      </c>
      <c r="E33" s="364">
        <f>30+60</f>
        <v>90</v>
      </c>
      <c r="F33" s="145"/>
      <c r="G33" s="145"/>
      <c r="H33" s="145"/>
      <c r="I33" s="145"/>
      <c r="J33" s="145"/>
      <c r="K33" s="145"/>
      <c r="L33" s="145"/>
      <c r="M33" s="204"/>
      <c r="N33" s="204"/>
      <c r="O33" s="204"/>
      <c r="P33" s="204"/>
    </row>
    <row r="34" spans="1:16" s="49" customFormat="1" ht="25.5">
      <c r="A34" s="348">
        <f t="shared" si="7"/>
        <v>20</v>
      </c>
      <c r="B34" s="348" t="s">
        <v>149</v>
      </c>
      <c r="C34" s="362" t="s">
        <v>244</v>
      </c>
      <c r="D34" s="355" t="s">
        <v>85</v>
      </c>
      <c r="E34" s="364">
        <f>50</f>
        <v>50</v>
      </c>
      <c r="F34" s="145"/>
      <c r="G34" s="145"/>
      <c r="H34" s="145"/>
      <c r="I34" s="145"/>
      <c r="J34" s="145"/>
      <c r="K34" s="145"/>
      <c r="L34" s="145"/>
      <c r="M34" s="204"/>
      <c r="N34" s="204"/>
      <c r="O34" s="204"/>
      <c r="P34" s="204"/>
    </row>
    <row r="35" spans="1:16" s="49" customFormat="1" ht="25.5">
      <c r="A35" s="348">
        <f t="shared" si="7"/>
        <v>21</v>
      </c>
      <c r="B35" s="348"/>
      <c r="C35" s="398" t="s">
        <v>245</v>
      </c>
      <c r="D35" s="355" t="s">
        <v>85</v>
      </c>
      <c r="E35" s="364">
        <f>E34</f>
        <v>50</v>
      </c>
      <c r="F35" s="145"/>
      <c r="G35" s="145"/>
      <c r="H35" s="145"/>
      <c r="I35" s="145"/>
      <c r="J35" s="145"/>
      <c r="K35" s="145"/>
      <c r="L35" s="145"/>
      <c r="M35" s="204"/>
      <c r="N35" s="204"/>
      <c r="O35" s="204"/>
      <c r="P35" s="204"/>
    </row>
    <row r="36" spans="1:16" s="49" customFormat="1" ht="25.5">
      <c r="A36" s="348">
        <f t="shared" si="7"/>
        <v>22</v>
      </c>
      <c r="B36" s="348" t="s">
        <v>149</v>
      </c>
      <c r="C36" s="362" t="s">
        <v>246</v>
      </c>
      <c r="D36" s="355" t="s">
        <v>85</v>
      </c>
      <c r="E36" s="364">
        <f>SUM(E37:E39)</f>
        <v>3830</v>
      </c>
      <c r="F36" s="145"/>
      <c r="G36" s="145"/>
      <c r="H36" s="145"/>
      <c r="I36" s="145"/>
      <c r="J36" s="145"/>
      <c r="K36" s="145"/>
      <c r="L36" s="145"/>
      <c r="M36" s="204"/>
      <c r="N36" s="204"/>
      <c r="O36" s="204"/>
      <c r="P36" s="204"/>
    </row>
    <row r="37" spans="1:16" s="49" customFormat="1" ht="25.5">
      <c r="A37" s="348">
        <f t="shared" si="7"/>
        <v>23</v>
      </c>
      <c r="B37" s="348"/>
      <c r="C37" s="398" t="s">
        <v>247</v>
      </c>
      <c r="D37" s="355" t="s">
        <v>85</v>
      </c>
      <c r="E37" s="364">
        <f>2380</f>
        <v>2380</v>
      </c>
      <c r="F37" s="145"/>
      <c r="G37" s="145"/>
      <c r="H37" s="145"/>
      <c r="I37" s="145"/>
      <c r="J37" s="145"/>
      <c r="K37" s="145"/>
      <c r="L37" s="145"/>
      <c r="M37" s="204"/>
      <c r="N37" s="204"/>
      <c r="O37" s="204"/>
      <c r="P37" s="204"/>
    </row>
    <row r="38" spans="1:16" s="49" customFormat="1" ht="25.5">
      <c r="A38" s="348">
        <f t="shared" si="7"/>
        <v>24</v>
      </c>
      <c r="B38" s="348"/>
      <c r="C38" s="398" t="s">
        <v>248</v>
      </c>
      <c r="D38" s="355" t="s">
        <v>85</v>
      </c>
      <c r="E38" s="364">
        <f>260+60</f>
        <v>320</v>
      </c>
      <c r="F38" s="145"/>
      <c r="G38" s="145"/>
      <c r="H38" s="145"/>
      <c r="I38" s="145"/>
      <c r="J38" s="145"/>
      <c r="K38" s="145"/>
      <c r="L38" s="145"/>
      <c r="M38" s="204"/>
      <c r="N38" s="204"/>
      <c r="O38" s="204"/>
      <c r="P38" s="204"/>
    </row>
    <row r="39" spans="1:16" s="49" customFormat="1" ht="25.5">
      <c r="A39" s="348">
        <f t="shared" si="7"/>
        <v>25</v>
      </c>
      <c r="B39" s="348"/>
      <c r="C39" s="398" t="s">
        <v>249</v>
      </c>
      <c r="D39" s="355" t="s">
        <v>85</v>
      </c>
      <c r="E39" s="364">
        <f>1130</f>
        <v>1130</v>
      </c>
      <c r="F39" s="145"/>
      <c r="G39" s="145"/>
      <c r="H39" s="145"/>
      <c r="I39" s="145"/>
      <c r="J39" s="145"/>
      <c r="K39" s="145"/>
      <c r="L39" s="145"/>
      <c r="M39" s="204"/>
      <c r="N39" s="204"/>
      <c r="O39" s="204"/>
      <c r="P39" s="204"/>
    </row>
    <row r="40" spans="1:16" s="49" customFormat="1">
      <c r="A40" s="348">
        <f t="shared" si="7"/>
        <v>26</v>
      </c>
      <c r="B40" s="348"/>
      <c r="C40" s="398" t="s">
        <v>250</v>
      </c>
      <c r="D40" s="355" t="s">
        <v>85</v>
      </c>
      <c r="E40" s="364">
        <v>66</v>
      </c>
      <c r="F40" s="145"/>
      <c r="G40" s="145"/>
      <c r="H40" s="145"/>
      <c r="I40" s="145"/>
      <c r="J40" s="145"/>
      <c r="K40" s="145"/>
      <c r="L40" s="145"/>
      <c r="M40" s="204"/>
      <c r="N40" s="204"/>
      <c r="O40" s="204"/>
      <c r="P40" s="204"/>
    </row>
    <row r="41" spans="1:16" s="49" customFormat="1">
      <c r="A41" s="348">
        <f t="shared" si="7"/>
        <v>27</v>
      </c>
      <c r="B41" s="348"/>
      <c r="C41" s="398" t="s">
        <v>251</v>
      </c>
      <c r="D41" s="355" t="s">
        <v>77</v>
      </c>
      <c r="E41" s="364">
        <f>98</f>
        <v>98</v>
      </c>
      <c r="F41" s="145"/>
      <c r="G41" s="145"/>
      <c r="H41" s="145"/>
      <c r="I41" s="145"/>
      <c r="J41" s="145"/>
      <c r="K41" s="145"/>
      <c r="L41" s="145"/>
      <c r="M41" s="204"/>
      <c r="N41" s="204"/>
      <c r="O41" s="204"/>
      <c r="P41" s="204"/>
    </row>
    <row r="42" spans="1:16" s="49" customFormat="1">
      <c r="A42" s="348">
        <f t="shared" si="7"/>
        <v>28</v>
      </c>
      <c r="B42" s="348"/>
      <c r="C42" s="398" t="s">
        <v>252</v>
      </c>
      <c r="D42" s="355" t="s">
        <v>87</v>
      </c>
      <c r="E42" s="364">
        <v>132</v>
      </c>
      <c r="F42" s="145"/>
      <c r="G42" s="145"/>
      <c r="H42" s="145"/>
      <c r="I42" s="145"/>
      <c r="J42" s="145"/>
      <c r="K42" s="145"/>
      <c r="L42" s="145"/>
      <c r="M42" s="204"/>
      <c r="N42" s="204"/>
      <c r="O42" s="204"/>
      <c r="P42" s="204"/>
    </row>
    <row r="43" spans="1:16" s="49" customFormat="1">
      <c r="A43" s="370"/>
      <c r="B43" s="370"/>
      <c r="C43" s="399" t="s">
        <v>253</v>
      </c>
      <c r="D43" s="400"/>
      <c r="E43" s="401"/>
      <c r="F43" s="135"/>
      <c r="G43" s="135"/>
      <c r="H43" s="135"/>
      <c r="I43" s="135"/>
      <c r="J43" s="135"/>
      <c r="K43" s="135"/>
      <c r="L43" s="135"/>
      <c r="M43" s="136"/>
      <c r="N43" s="136"/>
      <c r="O43" s="136"/>
      <c r="P43" s="136"/>
    </row>
    <row r="44" spans="1:16" s="49" customFormat="1">
      <c r="A44" s="370"/>
      <c r="B44" s="370"/>
      <c r="C44" s="402" t="s">
        <v>254</v>
      </c>
      <c r="D44" s="403"/>
      <c r="E44" s="404"/>
      <c r="F44" s="135"/>
      <c r="G44" s="135"/>
      <c r="H44" s="135"/>
      <c r="I44" s="135"/>
      <c r="J44" s="135"/>
      <c r="K44" s="135"/>
      <c r="L44" s="135"/>
      <c r="M44" s="136"/>
      <c r="N44" s="136"/>
      <c r="O44" s="136"/>
      <c r="P44" s="136"/>
    </row>
    <row r="45" spans="1:16" s="49" customFormat="1">
      <c r="A45" s="385">
        <f>A42+1</f>
        <v>29</v>
      </c>
      <c r="B45" s="385" t="s">
        <v>149</v>
      </c>
      <c r="C45" s="395" t="s">
        <v>255</v>
      </c>
      <c r="D45" s="396" t="s">
        <v>85</v>
      </c>
      <c r="E45" s="397">
        <f>410+2300</f>
        <v>2710</v>
      </c>
      <c r="F45" s="146"/>
      <c r="G45" s="146"/>
      <c r="H45" s="146"/>
      <c r="I45" s="146"/>
      <c r="J45" s="146"/>
      <c r="K45" s="146"/>
      <c r="L45" s="146"/>
      <c r="M45" s="205"/>
      <c r="N45" s="205"/>
      <c r="O45" s="205"/>
      <c r="P45" s="205"/>
    </row>
    <row r="46" spans="1:16" s="49" customFormat="1">
      <c r="A46" s="405">
        <f>A45+1</f>
        <v>30</v>
      </c>
      <c r="B46" s="405"/>
      <c r="C46" s="398" t="s">
        <v>256</v>
      </c>
      <c r="D46" s="355" t="s">
        <v>85</v>
      </c>
      <c r="E46" s="364">
        <f>E45*1.1</f>
        <v>2981.0000000000005</v>
      </c>
      <c r="F46" s="145"/>
      <c r="G46" s="145"/>
      <c r="H46" s="145"/>
      <c r="I46" s="145"/>
      <c r="J46" s="145"/>
      <c r="K46" s="145"/>
      <c r="L46" s="145"/>
      <c r="M46" s="204"/>
      <c r="N46" s="204"/>
      <c r="O46" s="204"/>
      <c r="P46" s="204"/>
    </row>
    <row r="47" spans="1:16" s="49" customFormat="1">
      <c r="A47" s="405">
        <f t="shared" ref="A47:A48" si="8">A46+1</f>
        <v>31</v>
      </c>
      <c r="B47" s="405"/>
      <c r="C47" s="398" t="s">
        <v>89</v>
      </c>
      <c r="D47" s="355" t="s">
        <v>87</v>
      </c>
      <c r="E47" s="364">
        <v>1</v>
      </c>
      <c r="F47" s="145"/>
      <c r="G47" s="145"/>
      <c r="H47" s="145"/>
      <c r="I47" s="145"/>
      <c r="J47" s="145"/>
      <c r="K47" s="145"/>
      <c r="L47" s="145"/>
      <c r="M47" s="204"/>
      <c r="N47" s="204"/>
      <c r="O47" s="204"/>
      <c r="P47" s="204"/>
    </row>
    <row r="48" spans="1:16" s="49" customFormat="1" ht="25.5">
      <c r="A48" s="405">
        <f t="shared" si="8"/>
        <v>32</v>
      </c>
      <c r="B48" s="405" t="s">
        <v>149</v>
      </c>
      <c r="C48" s="362" t="s">
        <v>257</v>
      </c>
      <c r="D48" s="355" t="s">
        <v>84</v>
      </c>
      <c r="E48" s="364">
        <f>30+2.9</f>
        <v>32.9</v>
      </c>
      <c r="F48" s="145"/>
      <c r="G48" s="145"/>
      <c r="H48" s="145"/>
      <c r="I48" s="145"/>
      <c r="J48" s="145"/>
      <c r="K48" s="145"/>
      <c r="L48" s="145"/>
      <c r="M48" s="204"/>
      <c r="N48" s="204"/>
      <c r="O48" s="204"/>
      <c r="P48" s="204"/>
    </row>
    <row r="49" spans="1:16" s="49" customFormat="1">
      <c r="A49" s="410"/>
      <c r="B49" s="410"/>
      <c r="C49" s="402" t="s">
        <v>258</v>
      </c>
      <c r="D49" s="403"/>
      <c r="E49" s="404"/>
      <c r="F49" s="135"/>
      <c r="G49" s="135"/>
      <c r="H49" s="135"/>
      <c r="I49" s="135"/>
      <c r="J49" s="135"/>
      <c r="K49" s="135"/>
      <c r="L49" s="135"/>
      <c r="M49" s="136"/>
      <c r="N49" s="136"/>
      <c r="O49" s="136"/>
      <c r="P49" s="136"/>
    </row>
    <row r="50" spans="1:16" s="49" customFormat="1">
      <c r="A50" s="411">
        <f>A48+1</f>
        <v>33</v>
      </c>
      <c r="B50" s="411" t="s">
        <v>149</v>
      </c>
      <c r="C50" s="395" t="s">
        <v>220</v>
      </c>
      <c r="D50" s="396" t="s">
        <v>84</v>
      </c>
      <c r="E50" s="397">
        <f>2.5</f>
        <v>2.5</v>
      </c>
      <c r="F50" s="146"/>
      <c r="G50" s="146"/>
      <c r="H50" s="146"/>
      <c r="I50" s="146"/>
      <c r="J50" s="146"/>
      <c r="K50" s="146"/>
      <c r="L50" s="146"/>
      <c r="M50" s="205"/>
      <c r="N50" s="205"/>
      <c r="O50" s="205"/>
      <c r="P50" s="205"/>
    </row>
    <row r="51" spans="1:16" s="49" customFormat="1">
      <c r="A51" s="405">
        <f>A50+1</f>
        <v>34</v>
      </c>
      <c r="B51" s="405" t="s">
        <v>149</v>
      </c>
      <c r="C51" s="362" t="s">
        <v>259</v>
      </c>
      <c r="D51" s="355" t="s">
        <v>85</v>
      </c>
      <c r="E51" s="364">
        <f>2450</f>
        <v>2450</v>
      </c>
      <c r="F51" s="145"/>
      <c r="G51" s="145"/>
      <c r="H51" s="145"/>
      <c r="I51" s="145"/>
      <c r="J51" s="145"/>
      <c r="K51" s="145"/>
      <c r="L51" s="145"/>
      <c r="M51" s="204"/>
      <c r="N51" s="204"/>
      <c r="O51" s="204"/>
      <c r="P51" s="204"/>
    </row>
    <row r="52" spans="1:16" s="49" customFormat="1">
      <c r="A52" s="405">
        <f t="shared" ref="A52:A54" si="9">A51+1</f>
        <v>35</v>
      </c>
      <c r="B52" s="405"/>
      <c r="C52" s="398" t="s">
        <v>250</v>
      </c>
      <c r="D52" s="355" t="s">
        <v>85</v>
      </c>
      <c r="E52" s="364">
        <f>E51*1.1</f>
        <v>2695</v>
      </c>
      <c r="F52" s="145"/>
      <c r="G52" s="145"/>
      <c r="H52" s="145"/>
      <c r="I52" s="145"/>
      <c r="J52" s="145"/>
      <c r="K52" s="145"/>
      <c r="L52" s="145"/>
      <c r="M52" s="204"/>
      <c r="N52" s="204"/>
      <c r="O52" s="204"/>
      <c r="P52" s="204"/>
    </row>
    <row r="53" spans="1:16" s="49" customFormat="1">
      <c r="A53" s="405">
        <f t="shared" si="9"/>
        <v>36</v>
      </c>
      <c r="B53" s="405"/>
      <c r="C53" s="398" t="s">
        <v>89</v>
      </c>
      <c r="D53" s="355" t="s">
        <v>87</v>
      </c>
      <c r="E53" s="364">
        <v>1</v>
      </c>
      <c r="F53" s="145"/>
      <c r="G53" s="145"/>
      <c r="H53" s="145"/>
      <c r="I53" s="145"/>
      <c r="J53" s="145"/>
      <c r="K53" s="145"/>
      <c r="L53" s="145"/>
      <c r="M53" s="204"/>
      <c r="N53" s="204"/>
      <c r="O53" s="204"/>
      <c r="P53" s="204"/>
    </row>
    <row r="54" spans="1:16" s="49" customFormat="1" ht="25.5">
      <c r="A54" s="405">
        <f t="shared" si="9"/>
        <v>37</v>
      </c>
      <c r="B54" s="405" t="s">
        <v>149</v>
      </c>
      <c r="C54" s="362" t="s">
        <v>260</v>
      </c>
      <c r="D54" s="355" t="s">
        <v>84</v>
      </c>
      <c r="E54" s="364">
        <v>13.6</v>
      </c>
      <c r="F54" s="145"/>
      <c r="G54" s="145"/>
      <c r="H54" s="145"/>
      <c r="I54" s="145"/>
      <c r="J54" s="145"/>
      <c r="K54" s="145"/>
      <c r="L54" s="145"/>
      <c r="M54" s="204"/>
      <c r="N54" s="204"/>
      <c r="O54" s="204"/>
      <c r="P54" s="204"/>
    </row>
    <row r="55" spans="1:16" s="49" customFormat="1">
      <c r="A55" s="410"/>
      <c r="B55" s="410"/>
      <c r="C55" s="402" t="s">
        <v>261</v>
      </c>
      <c r="D55" s="403"/>
      <c r="E55" s="404"/>
      <c r="F55" s="135"/>
      <c r="G55" s="135"/>
      <c r="H55" s="135"/>
      <c r="I55" s="135"/>
      <c r="J55" s="135"/>
      <c r="K55" s="135"/>
      <c r="L55" s="135"/>
      <c r="M55" s="136"/>
      <c r="N55" s="136"/>
      <c r="O55" s="136"/>
      <c r="P55" s="136"/>
    </row>
    <row r="56" spans="1:16" s="49" customFormat="1">
      <c r="A56" s="411">
        <f>A54+1</f>
        <v>38</v>
      </c>
      <c r="B56" s="411" t="s">
        <v>149</v>
      </c>
      <c r="C56" s="395" t="s">
        <v>262</v>
      </c>
      <c r="D56" s="396" t="s">
        <v>80</v>
      </c>
      <c r="E56" s="397">
        <v>1</v>
      </c>
      <c r="F56" s="146"/>
      <c r="G56" s="146"/>
      <c r="H56" s="146"/>
      <c r="I56" s="146"/>
      <c r="J56" s="146"/>
      <c r="K56" s="146"/>
      <c r="L56" s="146"/>
      <c r="M56" s="205"/>
      <c r="N56" s="205"/>
      <c r="O56" s="205"/>
      <c r="P56" s="205"/>
    </row>
    <row r="57" spans="1:16" s="49" customFormat="1">
      <c r="A57" s="370"/>
      <c r="B57" s="370"/>
      <c r="C57" s="402" t="s">
        <v>263</v>
      </c>
      <c r="D57" s="403"/>
      <c r="E57" s="404"/>
      <c r="F57" s="135"/>
      <c r="G57" s="135"/>
      <c r="H57" s="135"/>
      <c r="I57" s="135"/>
      <c r="J57" s="135"/>
      <c r="K57" s="135"/>
      <c r="L57" s="135"/>
      <c r="M57" s="136"/>
      <c r="N57" s="136"/>
      <c r="O57" s="136"/>
      <c r="P57" s="136"/>
    </row>
    <row r="58" spans="1:16" s="49" customFormat="1">
      <c r="A58" s="385">
        <f>A56+1</f>
        <v>39</v>
      </c>
      <c r="B58" s="385" t="s">
        <v>149</v>
      </c>
      <c r="C58" s="395" t="s">
        <v>264</v>
      </c>
      <c r="D58" s="396" t="s">
        <v>80</v>
      </c>
      <c r="E58" s="397">
        <f>1</f>
        <v>1</v>
      </c>
      <c r="F58" s="146"/>
      <c r="G58" s="146"/>
      <c r="H58" s="146"/>
      <c r="I58" s="146"/>
      <c r="J58" s="146"/>
      <c r="K58" s="146"/>
      <c r="L58" s="146"/>
      <c r="M58" s="205"/>
      <c r="N58" s="205"/>
      <c r="O58" s="205"/>
      <c r="P58" s="205"/>
    </row>
    <row r="59" spans="1:16" s="49" customFormat="1">
      <c r="A59" s="348">
        <f>A58+1</f>
        <v>40</v>
      </c>
      <c r="B59" s="348" t="s">
        <v>149</v>
      </c>
      <c r="C59" s="362" t="s">
        <v>262</v>
      </c>
      <c r="D59" s="355" t="s">
        <v>80</v>
      </c>
      <c r="E59" s="364">
        <v>1</v>
      </c>
      <c r="F59" s="145"/>
      <c r="G59" s="145"/>
      <c r="H59" s="145"/>
      <c r="I59" s="145"/>
      <c r="J59" s="145"/>
      <c r="K59" s="145"/>
      <c r="L59" s="145"/>
      <c r="M59" s="204"/>
      <c r="N59" s="204"/>
      <c r="O59" s="204"/>
      <c r="P59" s="204"/>
    </row>
    <row r="60" spans="1:16" s="49" customFormat="1">
      <c r="A60" s="348">
        <f>A59+1</f>
        <v>41</v>
      </c>
      <c r="B60" s="348" t="s">
        <v>149</v>
      </c>
      <c r="C60" s="362" t="s">
        <v>265</v>
      </c>
      <c r="D60" s="355" t="s">
        <v>80</v>
      </c>
      <c r="E60" s="364">
        <f>9</f>
        <v>9</v>
      </c>
      <c r="F60" s="145"/>
      <c r="G60" s="145"/>
      <c r="H60" s="145"/>
      <c r="I60" s="145"/>
      <c r="J60" s="145"/>
      <c r="K60" s="145"/>
      <c r="L60" s="145"/>
      <c r="M60" s="204"/>
      <c r="N60" s="204"/>
      <c r="O60" s="204"/>
      <c r="P60" s="204"/>
    </row>
    <row r="61" spans="1:16" s="49" customFormat="1">
      <c r="A61" s="348">
        <f>A60+1</f>
        <v>42</v>
      </c>
      <c r="B61" s="348" t="s">
        <v>149</v>
      </c>
      <c r="C61" s="362" t="s">
        <v>266</v>
      </c>
      <c r="D61" s="355" t="s">
        <v>80</v>
      </c>
      <c r="E61" s="364">
        <v>2</v>
      </c>
      <c r="F61" s="145"/>
      <c r="G61" s="145"/>
      <c r="H61" s="145"/>
      <c r="I61" s="145"/>
      <c r="J61" s="145"/>
      <c r="K61" s="145"/>
      <c r="L61" s="145"/>
      <c r="M61" s="204"/>
      <c r="N61" s="204"/>
      <c r="O61" s="204"/>
      <c r="P61" s="204"/>
    </row>
    <row r="62" spans="1:16" s="49" customFormat="1">
      <c r="A62" s="370"/>
      <c r="B62" s="370"/>
      <c r="C62" s="402" t="s">
        <v>267</v>
      </c>
      <c r="D62" s="403"/>
      <c r="E62" s="404"/>
      <c r="F62" s="135"/>
      <c r="G62" s="135"/>
      <c r="H62" s="135"/>
      <c r="I62" s="135"/>
      <c r="J62" s="135"/>
      <c r="K62" s="135"/>
      <c r="L62" s="135"/>
      <c r="M62" s="136"/>
      <c r="N62" s="136"/>
      <c r="O62" s="136"/>
      <c r="P62" s="136"/>
    </row>
    <row r="63" spans="1:16" s="49" customFormat="1">
      <c r="A63" s="385">
        <f>A61+1</f>
        <v>43</v>
      </c>
      <c r="B63" s="385" t="s">
        <v>149</v>
      </c>
      <c r="C63" s="395" t="s">
        <v>262</v>
      </c>
      <c r="D63" s="396" t="s">
        <v>80</v>
      </c>
      <c r="E63" s="397">
        <v>1</v>
      </c>
      <c r="F63" s="146"/>
      <c r="G63" s="146"/>
      <c r="H63" s="146"/>
      <c r="I63" s="146"/>
      <c r="J63" s="146"/>
      <c r="K63" s="146"/>
      <c r="L63" s="146"/>
      <c r="M63" s="205"/>
      <c r="N63" s="205"/>
      <c r="O63" s="205"/>
      <c r="P63" s="205"/>
    </row>
    <row r="64" spans="1:16" s="49" customFormat="1">
      <c r="A64" s="370"/>
      <c r="B64" s="370"/>
      <c r="C64" s="402" t="s">
        <v>268</v>
      </c>
      <c r="D64" s="403"/>
      <c r="E64" s="404"/>
      <c r="F64" s="135"/>
      <c r="G64" s="135"/>
      <c r="H64" s="135"/>
      <c r="I64" s="135"/>
      <c r="J64" s="135"/>
      <c r="K64" s="135"/>
      <c r="L64" s="135"/>
      <c r="M64" s="136"/>
      <c r="N64" s="136"/>
      <c r="O64" s="136"/>
      <c r="P64" s="136"/>
    </row>
    <row r="65" spans="1:16" s="49" customFormat="1">
      <c r="A65" s="385">
        <f>A63+1</f>
        <v>44</v>
      </c>
      <c r="B65" s="385" t="s">
        <v>149</v>
      </c>
      <c r="C65" s="395" t="s">
        <v>262</v>
      </c>
      <c r="D65" s="396" t="s">
        <v>80</v>
      </c>
      <c r="E65" s="397">
        <v>1</v>
      </c>
      <c r="F65" s="146"/>
      <c r="G65" s="146"/>
      <c r="H65" s="146"/>
      <c r="I65" s="146"/>
      <c r="J65" s="146"/>
      <c r="K65" s="146"/>
      <c r="L65" s="146"/>
      <c r="M65" s="205"/>
      <c r="N65" s="205"/>
      <c r="O65" s="205"/>
      <c r="P65" s="205"/>
    </row>
    <row r="66" spans="1:16" s="49" customFormat="1">
      <c r="A66" s="370"/>
      <c r="B66" s="370"/>
      <c r="C66" s="402" t="s">
        <v>269</v>
      </c>
      <c r="D66" s="403"/>
      <c r="E66" s="404"/>
      <c r="F66" s="135"/>
      <c r="G66" s="135"/>
      <c r="H66" s="135"/>
      <c r="I66" s="135"/>
      <c r="J66" s="135"/>
      <c r="K66" s="135"/>
      <c r="L66" s="135"/>
      <c r="M66" s="136"/>
      <c r="N66" s="136"/>
      <c r="O66" s="136"/>
      <c r="P66" s="136"/>
    </row>
    <row r="67" spans="1:16" s="49" customFormat="1">
      <c r="A67" s="385">
        <f>A65+1</f>
        <v>45</v>
      </c>
      <c r="B67" s="385" t="s">
        <v>149</v>
      </c>
      <c r="C67" s="395" t="s">
        <v>262</v>
      </c>
      <c r="D67" s="396" t="s">
        <v>80</v>
      </c>
      <c r="E67" s="397">
        <v>1</v>
      </c>
      <c r="F67" s="146"/>
      <c r="G67" s="146"/>
      <c r="H67" s="146"/>
      <c r="I67" s="146"/>
      <c r="J67" s="146"/>
      <c r="K67" s="146"/>
      <c r="L67" s="146"/>
      <c r="M67" s="205"/>
      <c r="N67" s="205"/>
      <c r="O67" s="205"/>
      <c r="P67" s="205"/>
    </row>
    <row r="68" spans="1:16" s="49" customFormat="1">
      <c r="A68" s="370"/>
      <c r="B68" s="370"/>
      <c r="C68" s="412" t="s">
        <v>270</v>
      </c>
      <c r="D68" s="403"/>
      <c r="E68" s="404"/>
      <c r="F68" s="135"/>
      <c r="G68" s="135"/>
      <c r="H68" s="135"/>
      <c r="I68" s="135"/>
      <c r="J68" s="135"/>
      <c r="K68" s="135"/>
      <c r="L68" s="135"/>
      <c r="M68" s="136"/>
      <c r="N68" s="136"/>
      <c r="O68" s="136"/>
      <c r="P68" s="136"/>
    </row>
    <row r="69" spans="1:16" s="49" customFormat="1">
      <c r="A69" s="385">
        <f>A67+1</f>
        <v>46</v>
      </c>
      <c r="B69" s="385" t="s">
        <v>149</v>
      </c>
      <c r="C69" s="395" t="s">
        <v>271</v>
      </c>
      <c r="D69" s="396" t="s">
        <v>85</v>
      </c>
      <c r="E69" s="397">
        <f>60+80+320+280</f>
        <v>740</v>
      </c>
      <c r="F69" s="146"/>
      <c r="G69" s="146"/>
      <c r="H69" s="146"/>
      <c r="I69" s="146"/>
      <c r="J69" s="146"/>
      <c r="K69" s="146"/>
      <c r="L69" s="146"/>
      <c r="M69" s="205"/>
      <c r="N69" s="205"/>
      <c r="O69" s="205"/>
      <c r="P69" s="205"/>
    </row>
    <row r="70" spans="1:16" s="49" customFormat="1">
      <c r="A70" s="348">
        <f>A69+1</f>
        <v>47</v>
      </c>
      <c r="B70" s="348"/>
      <c r="C70" s="398" t="s">
        <v>272</v>
      </c>
      <c r="D70" s="355" t="s">
        <v>85</v>
      </c>
      <c r="E70" s="364">
        <f>60*1.1+80*1.1</f>
        <v>154</v>
      </c>
      <c r="F70" s="145"/>
      <c r="G70" s="145"/>
      <c r="H70" s="145"/>
      <c r="I70" s="145"/>
      <c r="J70" s="145"/>
      <c r="K70" s="145"/>
      <c r="L70" s="145"/>
      <c r="M70" s="204"/>
      <c r="N70" s="204"/>
      <c r="O70" s="204"/>
      <c r="P70" s="204"/>
    </row>
    <row r="71" spans="1:16" s="49" customFormat="1">
      <c r="A71" s="348">
        <f t="shared" ref="A71:A73" si="10">A70+1</f>
        <v>48</v>
      </c>
      <c r="B71" s="348"/>
      <c r="C71" s="398" t="s">
        <v>256</v>
      </c>
      <c r="D71" s="355" t="s">
        <v>85</v>
      </c>
      <c r="E71" s="364">
        <f>320*1.1+280*1.1</f>
        <v>660</v>
      </c>
      <c r="F71" s="145"/>
      <c r="G71" s="145"/>
      <c r="H71" s="145"/>
      <c r="I71" s="145"/>
      <c r="J71" s="145"/>
      <c r="K71" s="145"/>
      <c r="L71" s="145"/>
      <c r="M71" s="204"/>
      <c r="N71" s="204"/>
      <c r="O71" s="204"/>
      <c r="P71" s="204"/>
    </row>
    <row r="72" spans="1:16" s="49" customFormat="1">
      <c r="A72" s="348">
        <f t="shared" si="10"/>
        <v>49</v>
      </c>
      <c r="B72" s="348"/>
      <c r="C72" s="398" t="s">
        <v>89</v>
      </c>
      <c r="D72" s="355" t="s">
        <v>87</v>
      </c>
      <c r="E72" s="364">
        <v>1</v>
      </c>
      <c r="F72" s="145"/>
      <c r="G72" s="145"/>
      <c r="H72" s="145"/>
      <c r="I72" s="145"/>
      <c r="J72" s="145"/>
      <c r="K72" s="145"/>
      <c r="L72" s="145"/>
      <c r="M72" s="204"/>
      <c r="N72" s="204"/>
      <c r="O72" s="204"/>
      <c r="P72" s="204"/>
    </row>
    <row r="73" spans="1:16" s="49" customFormat="1" ht="25.5">
      <c r="A73" s="348">
        <f t="shared" si="10"/>
        <v>50</v>
      </c>
      <c r="B73" s="348" t="s">
        <v>149</v>
      </c>
      <c r="C73" s="362" t="s">
        <v>273</v>
      </c>
      <c r="D73" s="355" t="s">
        <v>84</v>
      </c>
      <c r="E73" s="364">
        <f>5.8+4</f>
        <v>9.8000000000000007</v>
      </c>
      <c r="F73" s="145"/>
      <c r="G73" s="145"/>
      <c r="H73" s="145"/>
      <c r="I73" s="145"/>
      <c r="J73" s="145"/>
      <c r="K73" s="145"/>
      <c r="L73" s="145"/>
      <c r="M73" s="204"/>
      <c r="N73" s="204"/>
      <c r="O73" s="204"/>
      <c r="P73" s="204"/>
    </row>
    <row r="74" spans="1:16" s="49" customFormat="1">
      <c r="A74" s="370"/>
      <c r="B74" s="370"/>
      <c r="C74" s="399" t="s">
        <v>274</v>
      </c>
      <c r="D74" s="400"/>
      <c r="E74" s="401"/>
      <c r="F74" s="135"/>
      <c r="G74" s="135"/>
      <c r="H74" s="135"/>
      <c r="I74" s="135"/>
      <c r="J74" s="135"/>
      <c r="K74" s="135"/>
      <c r="L74" s="135"/>
      <c r="M74" s="136"/>
      <c r="N74" s="136"/>
      <c r="O74" s="136"/>
      <c r="P74" s="136"/>
    </row>
    <row r="75" spans="1:16" s="49" customFormat="1">
      <c r="A75" s="370"/>
      <c r="B75" s="370"/>
      <c r="C75" s="413" t="s">
        <v>275</v>
      </c>
      <c r="D75" s="403"/>
      <c r="E75" s="404"/>
      <c r="F75" s="135"/>
      <c r="G75" s="135"/>
      <c r="H75" s="135"/>
      <c r="I75" s="135"/>
      <c r="J75" s="135"/>
      <c r="K75" s="135"/>
      <c r="L75" s="135"/>
      <c r="M75" s="136"/>
      <c r="N75" s="136"/>
      <c r="O75" s="136"/>
      <c r="P75" s="136"/>
    </row>
    <row r="76" spans="1:16" s="49" customFormat="1">
      <c r="A76" s="385">
        <f>A73+1</f>
        <v>51</v>
      </c>
      <c r="B76" s="385" t="s">
        <v>149</v>
      </c>
      <c r="C76" s="395" t="s">
        <v>276</v>
      </c>
      <c r="D76" s="396" t="s">
        <v>82</v>
      </c>
      <c r="E76" s="397">
        <f>59</f>
        <v>59</v>
      </c>
      <c r="F76" s="146"/>
      <c r="G76" s="146"/>
      <c r="H76" s="146"/>
      <c r="I76" s="146"/>
      <c r="J76" s="146"/>
      <c r="K76" s="146"/>
      <c r="L76" s="146"/>
      <c r="M76" s="205"/>
      <c r="N76" s="205"/>
      <c r="O76" s="205"/>
      <c r="P76" s="205"/>
    </row>
    <row r="77" spans="1:16" s="49" customFormat="1">
      <c r="A77" s="348">
        <f>A76+1</f>
        <v>52</v>
      </c>
      <c r="B77" s="348"/>
      <c r="C77" s="398" t="s">
        <v>277</v>
      </c>
      <c r="D77" s="355" t="s">
        <v>82</v>
      </c>
      <c r="E77" s="364">
        <f>E76</f>
        <v>59</v>
      </c>
      <c r="F77" s="145"/>
      <c r="G77" s="145"/>
      <c r="H77" s="145"/>
      <c r="I77" s="145"/>
      <c r="J77" s="145"/>
      <c r="K77" s="145"/>
      <c r="L77" s="145"/>
      <c r="M77" s="204"/>
      <c r="N77" s="204"/>
      <c r="O77" s="204"/>
      <c r="P77" s="204"/>
    </row>
    <row r="78" spans="1:16" s="49" customFormat="1">
      <c r="A78" s="348">
        <f t="shared" ref="A78:A80" si="11">A77+1</f>
        <v>53</v>
      </c>
      <c r="B78" s="348"/>
      <c r="C78" s="398" t="s">
        <v>278</v>
      </c>
      <c r="D78" s="355" t="s">
        <v>87</v>
      </c>
      <c r="E78" s="364">
        <v>1</v>
      </c>
      <c r="F78" s="145"/>
      <c r="G78" s="145"/>
      <c r="H78" s="145"/>
      <c r="I78" s="145"/>
      <c r="J78" s="145"/>
      <c r="K78" s="145"/>
      <c r="L78" s="145"/>
      <c r="M78" s="204"/>
      <c r="N78" s="204"/>
      <c r="O78" s="204"/>
      <c r="P78" s="204"/>
    </row>
    <row r="79" spans="1:16" s="49" customFormat="1" ht="25.5">
      <c r="A79" s="348">
        <f t="shared" si="11"/>
        <v>54</v>
      </c>
      <c r="B79" s="348" t="s">
        <v>149</v>
      </c>
      <c r="C79" s="362" t="s">
        <v>279</v>
      </c>
      <c r="D79" s="355" t="s">
        <v>85</v>
      </c>
      <c r="E79" s="364">
        <f>130</f>
        <v>130</v>
      </c>
      <c r="F79" s="145"/>
      <c r="G79" s="145"/>
      <c r="H79" s="145"/>
      <c r="I79" s="145"/>
      <c r="J79" s="145"/>
      <c r="K79" s="145"/>
      <c r="L79" s="145"/>
      <c r="M79" s="204"/>
      <c r="N79" s="204"/>
      <c r="O79" s="204"/>
      <c r="P79" s="204"/>
    </row>
    <row r="80" spans="1:16" s="49" customFormat="1" ht="25.5">
      <c r="A80" s="348">
        <f t="shared" si="11"/>
        <v>55</v>
      </c>
      <c r="B80" s="380" t="s">
        <v>149</v>
      </c>
      <c r="C80" s="407" t="s">
        <v>280</v>
      </c>
      <c r="D80" s="408" t="s">
        <v>84</v>
      </c>
      <c r="E80" s="409">
        <v>2</v>
      </c>
      <c r="F80" s="150"/>
      <c r="G80" s="150"/>
      <c r="H80" s="150"/>
      <c r="I80" s="150"/>
      <c r="J80" s="150"/>
      <c r="K80" s="150"/>
      <c r="L80" s="150"/>
      <c r="M80" s="207"/>
      <c r="N80" s="207"/>
      <c r="O80" s="207"/>
      <c r="P80" s="207"/>
    </row>
    <row r="81" spans="1:16" s="49" customFormat="1">
      <c r="A81" s="370"/>
      <c r="B81" s="370"/>
      <c r="C81" s="413" t="s">
        <v>281</v>
      </c>
      <c r="D81" s="403"/>
      <c r="E81" s="404"/>
      <c r="F81" s="135"/>
      <c r="G81" s="135"/>
      <c r="H81" s="135"/>
      <c r="I81" s="135"/>
      <c r="J81" s="135"/>
      <c r="K81" s="135"/>
      <c r="L81" s="135"/>
      <c r="M81" s="136"/>
      <c r="N81" s="136"/>
      <c r="O81" s="136"/>
      <c r="P81" s="136"/>
    </row>
    <row r="82" spans="1:16" s="49" customFormat="1">
      <c r="A82" s="385">
        <f>A80+1</f>
        <v>56</v>
      </c>
      <c r="B82" s="385" t="s">
        <v>149</v>
      </c>
      <c r="C82" s="395" t="s">
        <v>282</v>
      </c>
      <c r="D82" s="396" t="s">
        <v>82</v>
      </c>
      <c r="E82" s="397">
        <f>67.5</f>
        <v>67.5</v>
      </c>
      <c r="F82" s="146"/>
      <c r="G82" s="146"/>
      <c r="H82" s="146"/>
      <c r="I82" s="146"/>
      <c r="J82" s="146"/>
      <c r="K82" s="146"/>
      <c r="L82" s="146"/>
      <c r="M82" s="205"/>
      <c r="N82" s="205"/>
      <c r="O82" s="205"/>
      <c r="P82" s="205"/>
    </row>
    <row r="83" spans="1:16" s="49" customFormat="1">
      <c r="A83" s="348">
        <f>A82+1</f>
        <v>57</v>
      </c>
      <c r="B83" s="348"/>
      <c r="C83" s="398" t="s">
        <v>277</v>
      </c>
      <c r="D83" s="355" t="s">
        <v>82</v>
      </c>
      <c r="E83" s="364">
        <f>E82</f>
        <v>67.5</v>
      </c>
      <c r="F83" s="145"/>
      <c r="G83" s="145"/>
      <c r="H83" s="145"/>
      <c r="I83" s="145"/>
      <c r="J83" s="145"/>
      <c r="K83" s="145"/>
      <c r="L83" s="145"/>
      <c r="M83" s="204"/>
      <c r="N83" s="204"/>
      <c r="O83" s="204"/>
      <c r="P83" s="204"/>
    </row>
    <row r="84" spans="1:16" s="49" customFormat="1">
      <c r="A84" s="348">
        <f t="shared" ref="A84:A92" si="12">A83+1</f>
        <v>58</v>
      </c>
      <c r="B84" s="348"/>
      <c r="C84" s="398" t="s">
        <v>278</v>
      </c>
      <c r="D84" s="355" t="s">
        <v>87</v>
      </c>
      <c r="E84" s="364">
        <v>1</v>
      </c>
      <c r="F84" s="145"/>
      <c r="G84" s="145"/>
      <c r="H84" s="145"/>
      <c r="I84" s="145"/>
      <c r="J84" s="145"/>
      <c r="K84" s="145"/>
      <c r="L84" s="145"/>
      <c r="M84" s="204"/>
      <c r="N84" s="204"/>
      <c r="O84" s="204"/>
      <c r="P84" s="204"/>
    </row>
    <row r="85" spans="1:16" s="49" customFormat="1" ht="25.5">
      <c r="A85" s="348">
        <f t="shared" si="12"/>
        <v>59</v>
      </c>
      <c r="B85" s="405" t="s">
        <v>149</v>
      </c>
      <c r="C85" s="362" t="s">
        <v>279</v>
      </c>
      <c r="D85" s="355" t="s">
        <v>85</v>
      </c>
      <c r="E85" s="364">
        <f>110</f>
        <v>110</v>
      </c>
      <c r="F85" s="145"/>
      <c r="G85" s="145"/>
      <c r="H85" s="145"/>
      <c r="I85" s="145"/>
      <c r="J85" s="145"/>
      <c r="K85" s="145"/>
      <c r="L85" s="145"/>
      <c r="M85" s="204"/>
      <c r="N85" s="204"/>
      <c r="O85" s="204"/>
      <c r="P85" s="204"/>
    </row>
    <row r="86" spans="1:16" s="49" customFormat="1" ht="25.5">
      <c r="A86" s="348">
        <f t="shared" si="12"/>
        <v>60</v>
      </c>
      <c r="B86" s="405" t="s">
        <v>149</v>
      </c>
      <c r="C86" s="362" t="s">
        <v>280</v>
      </c>
      <c r="D86" s="355" t="s">
        <v>84</v>
      </c>
      <c r="E86" s="364">
        <f>1.6</f>
        <v>1.6</v>
      </c>
      <c r="F86" s="145"/>
      <c r="G86" s="145"/>
      <c r="H86" s="145"/>
      <c r="I86" s="145"/>
      <c r="J86" s="145"/>
      <c r="K86" s="145"/>
      <c r="L86" s="145"/>
      <c r="M86" s="204"/>
      <c r="N86" s="204"/>
      <c r="O86" s="204"/>
      <c r="P86" s="204"/>
    </row>
    <row r="87" spans="1:16" s="49" customFormat="1" ht="38.25">
      <c r="A87" s="348">
        <f t="shared" si="12"/>
        <v>61</v>
      </c>
      <c r="B87" s="405" t="s">
        <v>149</v>
      </c>
      <c r="C87" s="362" t="s">
        <v>283</v>
      </c>
      <c r="D87" s="355" t="s">
        <v>1779</v>
      </c>
      <c r="E87" s="364">
        <f>7.2</f>
        <v>7.2</v>
      </c>
      <c r="F87" s="145"/>
      <c r="G87" s="145"/>
      <c r="H87" s="145"/>
      <c r="I87" s="145"/>
      <c r="J87" s="145"/>
      <c r="K87" s="145"/>
      <c r="L87" s="145"/>
      <c r="M87" s="204"/>
      <c r="N87" s="204"/>
      <c r="O87" s="204"/>
      <c r="P87" s="204"/>
    </row>
    <row r="88" spans="1:16" s="49" customFormat="1" ht="25.5">
      <c r="A88" s="348">
        <f t="shared" si="12"/>
        <v>62</v>
      </c>
      <c r="B88" s="405" t="s">
        <v>149</v>
      </c>
      <c r="C88" s="362" t="s">
        <v>284</v>
      </c>
      <c r="D88" s="355" t="s">
        <v>85</v>
      </c>
      <c r="E88" s="364">
        <f>780</f>
        <v>780</v>
      </c>
      <c r="F88" s="145"/>
      <c r="G88" s="145"/>
      <c r="H88" s="145"/>
      <c r="I88" s="145"/>
      <c r="J88" s="145"/>
      <c r="K88" s="145"/>
      <c r="L88" s="145"/>
      <c r="M88" s="204"/>
      <c r="N88" s="204"/>
      <c r="O88" s="204"/>
      <c r="P88" s="204"/>
    </row>
    <row r="89" spans="1:16" s="49" customFormat="1">
      <c r="A89" s="348">
        <f t="shared" si="12"/>
        <v>63</v>
      </c>
      <c r="B89" s="348" t="s">
        <v>149</v>
      </c>
      <c r="C89" s="362" t="s">
        <v>285</v>
      </c>
      <c r="D89" s="355" t="s">
        <v>85</v>
      </c>
      <c r="E89" s="364">
        <f>50</f>
        <v>50</v>
      </c>
      <c r="F89" s="145"/>
      <c r="G89" s="145"/>
      <c r="H89" s="145"/>
      <c r="I89" s="145"/>
      <c r="J89" s="145"/>
      <c r="K89" s="145"/>
      <c r="L89" s="145"/>
      <c r="M89" s="204"/>
      <c r="N89" s="204"/>
      <c r="O89" s="204"/>
      <c r="P89" s="204"/>
    </row>
    <row r="90" spans="1:16" s="49" customFormat="1">
      <c r="A90" s="348">
        <f t="shared" si="12"/>
        <v>64</v>
      </c>
      <c r="B90" s="348"/>
      <c r="C90" s="398" t="s">
        <v>250</v>
      </c>
      <c r="D90" s="355" t="s">
        <v>85</v>
      </c>
      <c r="E90" s="364">
        <f>E89*1.1</f>
        <v>55.000000000000007</v>
      </c>
      <c r="F90" s="145"/>
      <c r="G90" s="145"/>
      <c r="H90" s="145"/>
      <c r="I90" s="145"/>
      <c r="J90" s="145"/>
      <c r="K90" s="145"/>
      <c r="L90" s="145"/>
      <c r="M90" s="204"/>
      <c r="N90" s="204"/>
      <c r="O90" s="204"/>
      <c r="P90" s="204"/>
    </row>
    <row r="91" spans="1:16" s="49" customFormat="1">
      <c r="A91" s="348">
        <f t="shared" si="12"/>
        <v>65</v>
      </c>
      <c r="B91" s="348"/>
      <c r="C91" s="398" t="s">
        <v>89</v>
      </c>
      <c r="D91" s="355" t="s">
        <v>87</v>
      </c>
      <c r="E91" s="364">
        <v>1</v>
      </c>
      <c r="F91" s="145"/>
      <c r="G91" s="145"/>
      <c r="H91" s="145"/>
      <c r="I91" s="145"/>
      <c r="J91" s="145"/>
      <c r="K91" s="145"/>
      <c r="L91" s="145"/>
      <c r="M91" s="204"/>
      <c r="N91" s="204"/>
      <c r="O91" s="204"/>
      <c r="P91" s="204"/>
    </row>
    <row r="92" spans="1:16" s="49" customFormat="1">
      <c r="A92" s="348">
        <f t="shared" si="12"/>
        <v>66</v>
      </c>
      <c r="B92" s="380" t="s">
        <v>149</v>
      </c>
      <c r="C92" s="407" t="s">
        <v>286</v>
      </c>
      <c r="D92" s="408" t="s">
        <v>84</v>
      </c>
      <c r="E92" s="409">
        <f>0.3</f>
        <v>0.3</v>
      </c>
      <c r="F92" s="150"/>
      <c r="G92" s="150"/>
      <c r="H92" s="150"/>
      <c r="I92" s="150"/>
      <c r="J92" s="150"/>
      <c r="K92" s="150"/>
      <c r="L92" s="150"/>
      <c r="M92" s="207"/>
      <c r="N92" s="207"/>
      <c r="O92" s="207"/>
      <c r="P92" s="207"/>
    </row>
    <row r="93" spans="1:16" s="49" customFormat="1">
      <c r="A93" s="370"/>
      <c r="B93" s="370"/>
      <c r="C93" s="413" t="s">
        <v>287</v>
      </c>
      <c r="D93" s="403"/>
      <c r="E93" s="404"/>
      <c r="F93" s="135"/>
      <c r="G93" s="135"/>
      <c r="H93" s="135"/>
      <c r="I93" s="135"/>
      <c r="J93" s="135"/>
      <c r="K93" s="135"/>
      <c r="L93" s="135"/>
      <c r="M93" s="136"/>
      <c r="N93" s="136"/>
      <c r="O93" s="136"/>
      <c r="P93" s="136"/>
    </row>
    <row r="94" spans="1:16" s="49" customFormat="1" ht="38.25">
      <c r="A94" s="411">
        <f>A92+1</f>
        <v>67</v>
      </c>
      <c r="B94" s="411" t="s">
        <v>149</v>
      </c>
      <c r="C94" s="395" t="s">
        <v>288</v>
      </c>
      <c r="D94" s="396" t="s">
        <v>1779</v>
      </c>
      <c r="E94" s="397">
        <f>4.3</f>
        <v>4.3</v>
      </c>
      <c r="F94" s="146"/>
      <c r="G94" s="146"/>
      <c r="H94" s="146"/>
      <c r="I94" s="146"/>
      <c r="J94" s="146"/>
      <c r="K94" s="146"/>
      <c r="L94" s="146"/>
      <c r="M94" s="205"/>
      <c r="N94" s="205"/>
      <c r="O94" s="205"/>
      <c r="P94" s="205"/>
    </row>
    <row r="95" spans="1:16" s="49" customFormat="1" ht="25.5">
      <c r="A95" s="405">
        <f>A94+1</f>
        <v>68</v>
      </c>
      <c r="B95" s="405" t="s">
        <v>149</v>
      </c>
      <c r="C95" s="362" t="s">
        <v>289</v>
      </c>
      <c r="D95" s="355" t="s">
        <v>85</v>
      </c>
      <c r="E95" s="364">
        <f>350</f>
        <v>350</v>
      </c>
      <c r="F95" s="145"/>
      <c r="G95" s="145"/>
      <c r="H95" s="145"/>
      <c r="I95" s="145"/>
      <c r="J95" s="145"/>
      <c r="K95" s="145"/>
      <c r="L95" s="145"/>
      <c r="M95" s="204"/>
      <c r="N95" s="204"/>
      <c r="O95" s="204"/>
      <c r="P95" s="204"/>
    </row>
    <row r="96" spans="1:16" s="49" customFormat="1" ht="38.25">
      <c r="A96" s="405">
        <f>A95+1</f>
        <v>69</v>
      </c>
      <c r="B96" s="405" t="s">
        <v>149</v>
      </c>
      <c r="C96" s="362" t="s">
        <v>290</v>
      </c>
      <c r="D96" s="355" t="s">
        <v>1779</v>
      </c>
      <c r="E96" s="364">
        <f>2.5</f>
        <v>2.5</v>
      </c>
      <c r="F96" s="145"/>
      <c r="G96" s="145"/>
      <c r="H96" s="145"/>
      <c r="I96" s="145"/>
      <c r="J96" s="145"/>
      <c r="K96" s="145"/>
      <c r="L96" s="145"/>
      <c r="M96" s="204"/>
      <c r="N96" s="204"/>
      <c r="O96" s="204"/>
      <c r="P96" s="204"/>
    </row>
    <row r="97" spans="1:16" s="49" customFormat="1" ht="25.5">
      <c r="A97" s="406">
        <f>A96+1</f>
        <v>70</v>
      </c>
      <c r="B97" s="406" t="s">
        <v>149</v>
      </c>
      <c r="C97" s="407" t="s">
        <v>291</v>
      </c>
      <c r="D97" s="408" t="s">
        <v>85</v>
      </c>
      <c r="E97" s="409">
        <f>200+30</f>
        <v>230</v>
      </c>
      <c r="F97" s="150"/>
      <c r="G97" s="150"/>
      <c r="H97" s="150"/>
      <c r="I97" s="150"/>
      <c r="J97" s="150"/>
      <c r="K97" s="150"/>
      <c r="L97" s="150"/>
      <c r="M97" s="207"/>
      <c r="N97" s="207"/>
      <c r="O97" s="207"/>
      <c r="P97" s="207"/>
    </row>
    <row r="98" spans="1:16" s="49" customFormat="1">
      <c r="A98" s="370"/>
      <c r="B98" s="370"/>
      <c r="C98" s="413" t="s">
        <v>292</v>
      </c>
      <c r="D98" s="403"/>
      <c r="E98" s="404"/>
      <c r="F98" s="135"/>
      <c r="G98" s="135"/>
      <c r="H98" s="135"/>
      <c r="I98" s="135"/>
      <c r="J98" s="135"/>
      <c r="K98" s="135"/>
      <c r="L98" s="135"/>
      <c r="M98" s="136"/>
      <c r="N98" s="136"/>
      <c r="O98" s="136"/>
      <c r="P98" s="136"/>
    </row>
    <row r="99" spans="1:16" s="49" customFormat="1">
      <c r="A99" s="385">
        <f>A97+1</f>
        <v>71</v>
      </c>
      <c r="B99" s="385" t="s">
        <v>149</v>
      </c>
      <c r="C99" s="395" t="s">
        <v>293</v>
      </c>
      <c r="D99" s="396" t="s">
        <v>82</v>
      </c>
      <c r="E99" s="397">
        <f>173+62</f>
        <v>235</v>
      </c>
      <c r="F99" s="146"/>
      <c r="G99" s="146"/>
      <c r="H99" s="146"/>
      <c r="I99" s="146"/>
      <c r="J99" s="146"/>
      <c r="K99" s="146"/>
      <c r="L99" s="146"/>
      <c r="M99" s="205"/>
      <c r="N99" s="205"/>
      <c r="O99" s="205"/>
      <c r="P99" s="205"/>
    </row>
    <row r="100" spans="1:16" s="49" customFormat="1">
      <c r="A100" s="380">
        <f>A99+1</f>
        <v>72</v>
      </c>
      <c r="B100" s="380" t="s">
        <v>149</v>
      </c>
      <c r="C100" s="407" t="s">
        <v>294</v>
      </c>
      <c r="D100" s="408" t="s">
        <v>82</v>
      </c>
      <c r="E100" s="409">
        <f>E99</f>
        <v>235</v>
      </c>
      <c r="F100" s="150"/>
      <c r="G100" s="150"/>
      <c r="H100" s="150"/>
      <c r="I100" s="150"/>
      <c r="J100" s="150"/>
      <c r="K100" s="150"/>
      <c r="L100" s="150"/>
      <c r="M100" s="207"/>
      <c r="N100" s="207"/>
      <c r="O100" s="207"/>
      <c r="P100" s="207"/>
    </row>
    <row r="101" spans="1:16" s="49" customFormat="1">
      <c r="A101" s="370"/>
      <c r="B101" s="370"/>
      <c r="C101" s="399" t="s">
        <v>295</v>
      </c>
      <c r="D101" s="400"/>
      <c r="E101" s="401"/>
      <c r="F101" s="135"/>
      <c r="G101" s="135"/>
      <c r="H101" s="135"/>
      <c r="I101" s="135"/>
      <c r="J101" s="135"/>
      <c r="K101" s="135"/>
      <c r="L101" s="135"/>
      <c r="M101" s="136"/>
      <c r="N101" s="136"/>
      <c r="O101" s="136"/>
      <c r="P101" s="136"/>
    </row>
    <row r="102" spans="1:16" s="49" customFormat="1" ht="25.5">
      <c r="A102" s="385">
        <f>A100+1</f>
        <v>73</v>
      </c>
      <c r="B102" s="385" t="s">
        <v>149</v>
      </c>
      <c r="C102" s="395" t="s">
        <v>296</v>
      </c>
      <c r="D102" s="396" t="s">
        <v>85</v>
      </c>
      <c r="E102" s="397">
        <f>SUM(E103:E105)</f>
        <v>305</v>
      </c>
      <c r="F102" s="146"/>
      <c r="G102" s="146"/>
      <c r="H102" s="146"/>
      <c r="I102" s="146"/>
      <c r="J102" s="146"/>
      <c r="K102" s="146"/>
      <c r="L102" s="146"/>
      <c r="M102" s="205"/>
      <c r="N102" s="205"/>
      <c r="O102" s="205"/>
      <c r="P102" s="205"/>
    </row>
    <row r="103" spans="1:16" s="49" customFormat="1" ht="25.5">
      <c r="A103" s="348">
        <f>A102+1</f>
        <v>74</v>
      </c>
      <c r="B103" s="348"/>
      <c r="C103" s="398" t="s">
        <v>297</v>
      </c>
      <c r="D103" s="355" t="s">
        <v>85</v>
      </c>
      <c r="E103" s="364">
        <f>260</f>
        <v>260</v>
      </c>
      <c r="F103" s="145"/>
      <c r="G103" s="145"/>
      <c r="H103" s="145"/>
      <c r="I103" s="145"/>
      <c r="J103" s="145"/>
      <c r="K103" s="145"/>
      <c r="L103" s="145"/>
      <c r="M103" s="204"/>
      <c r="N103" s="204"/>
      <c r="O103" s="204"/>
      <c r="P103" s="204"/>
    </row>
    <row r="104" spans="1:16" s="49" customFormat="1" ht="25.5">
      <c r="A104" s="348">
        <f t="shared" ref="A104:A113" si="13">A103+1</f>
        <v>75</v>
      </c>
      <c r="B104" s="348"/>
      <c r="C104" s="398" t="s">
        <v>298</v>
      </c>
      <c r="D104" s="355" t="s">
        <v>85</v>
      </c>
      <c r="E104" s="364">
        <f>5</f>
        <v>5</v>
      </c>
      <c r="F104" s="145"/>
      <c r="G104" s="145"/>
      <c r="H104" s="145"/>
      <c r="I104" s="145"/>
      <c r="J104" s="145"/>
      <c r="K104" s="145"/>
      <c r="L104" s="145"/>
      <c r="M104" s="204"/>
      <c r="N104" s="204"/>
      <c r="O104" s="204"/>
      <c r="P104" s="204"/>
    </row>
    <row r="105" spans="1:16" s="49" customFormat="1" ht="25.5">
      <c r="A105" s="348">
        <f t="shared" si="13"/>
        <v>76</v>
      </c>
      <c r="B105" s="348"/>
      <c r="C105" s="398" t="s">
        <v>299</v>
      </c>
      <c r="D105" s="355" t="s">
        <v>85</v>
      </c>
      <c r="E105" s="364">
        <f>40</f>
        <v>40</v>
      </c>
      <c r="F105" s="145"/>
      <c r="G105" s="145"/>
      <c r="H105" s="145"/>
      <c r="I105" s="145"/>
      <c r="J105" s="145"/>
      <c r="K105" s="145"/>
      <c r="L105" s="145"/>
      <c r="M105" s="204"/>
      <c r="N105" s="204"/>
      <c r="O105" s="204"/>
      <c r="P105" s="204"/>
    </row>
    <row r="106" spans="1:16" s="49" customFormat="1" ht="25.5">
      <c r="A106" s="348">
        <f t="shared" si="13"/>
        <v>77</v>
      </c>
      <c r="B106" s="405" t="s">
        <v>149</v>
      </c>
      <c r="C106" s="362" t="s">
        <v>300</v>
      </c>
      <c r="D106" s="355" t="s">
        <v>1779</v>
      </c>
      <c r="E106" s="364">
        <f>0.4</f>
        <v>0.4</v>
      </c>
      <c r="F106" s="145"/>
      <c r="G106" s="145"/>
      <c r="H106" s="145"/>
      <c r="I106" s="145"/>
      <c r="J106" s="145"/>
      <c r="K106" s="145"/>
      <c r="L106" s="145"/>
      <c r="M106" s="204"/>
      <c r="N106" s="204"/>
      <c r="O106" s="204"/>
      <c r="P106" s="204"/>
    </row>
    <row r="107" spans="1:16" s="49" customFormat="1" ht="25.5">
      <c r="A107" s="348">
        <f t="shared" si="13"/>
        <v>78</v>
      </c>
      <c r="B107" s="405" t="s">
        <v>149</v>
      </c>
      <c r="C107" s="362" t="s">
        <v>301</v>
      </c>
      <c r="D107" s="355" t="s">
        <v>85</v>
      </c>
      <c r="E107" s="364">
        <f>25</f>
        <v>25</v>
      </c>
      <c r="F107" s="145"/>
      <c r="G107" s="145"/>
      <c r="H107" s="145"/>
      <c r="I107" s="145"/>
      <c r="J107" s="145"/>
      <c r="K107" s="145"/>
      <c r="L107" s="145"/>
      <c r="M107" s="204"/>
      <c r="N107" s="204"/>
      <c r="O107" s="204"/>
      <c r="P107" s="204"/>
    </row>
    <row r="108" spans="1:16" s="49" customFormat="1" ht="25.5">
      <c r="A108" s="348">
        <f t="shared" si="13"/>
        <v>79</v>
      </c>
      <c r="B108" s="348" t="s">
        <v>149</v>
      </c>
      <c r="C108" s="362" t="s">
        <v>302</v>
      </c>
      <c r="D108" s="355" t="s">
        <v>85</v>
      </c>
      <c r="E108" s="364">
        <f>SUM(E109:E111)</f>
        <v>365</v>
      </c>
      <c r="F108" s="145"/>
      <c r="G108" s="145"/>
      <c r="H108" s="145"/>
      <c r="I108" s="145"/>
      <c r="J108" s="145"/>
      <c r="K108" s="145"/>
      <c r="L108" s="145"/>
      <c r="M108" s="204"/>
      <c r="N108" s="204"/>
      <c r="O108" s="204"/>
      <c r="P108" s="204"/>
    </row>
    <row r="109" spans="1:16" s="49" customFormat="1" ht="25.5">
      <c r="A109" s="348">
        <f t="shared" si="13"/>
        <v>80</v>
      </c>
      <c r="B109" s="405"/>
      <c r="C109" s="398" t="s">
        <v>297</v>
      </c>
      <c r="D109" s="355" t="s">
        <v>85</v>
      </c>
      <c r="E109" s="364">
        <f>280</f>
        <v>280</v>
      </c>
      <c r="F109" s="145"/>
      <c r="G109" s="145"/>
      <c r="H109" s="145"/>
      <c r="I109" s="145"/>
      <c r="J109" s="145"/>
      <c r="K109" s="145"/>
      <c r="L109" s="145"/>
      <c r="M109" s="204"/>
      <c r="N109" s="204"/>
      <c r="O109" s="204"/>
      <c r="P109" s="204"/>
    </row>
    <row r="110" spans="1:16" s="49" customFormat="1" ht="25.5">
      <c r="A110" s="348">
        <f t="shared" si="13"/>
        <v>81</v>
      </c>
      <c r="B110" s="405"/>
      <c r="C110" s="398" t="s">
        <v>299</v>
      </c>
      <c r="D110" s="355" t="s">
        <v>85</v>
      </c>
      <c r="E110" s="364">
        <v>80</v>
      </c>
      <c r="F110" s="145"/>
      <c r="G110" s="145"/>
      <c r="H110" s="145"/>
      <c r="I110" s="145"/>
      <c r="J110" s="145"/>
      <c r="K110" s="145"/>
      <c r="L110" s="145"/>
      <c r="M110" s="204"/>
      <c r="N110" s="204"/>
      <c r="O110" s="204"/>
      <c r="P110" s="204"/>
    </row>
    <row r="111" spans="1:16" s="49" customFormat="1" ht="25.5">
      <c r="A111" s="348">
        <f t="shared" si="13"/>
        <v>82</v>
      </c>
      <c r="B111" s="405"/>
      <c r="C111" s="398" t="s">
        <v>298</v>
      </c>
      <c r="D111" s="355" t="s">
        <v>85</v>
      </c>
      <c r="E111" s="364">
        <f>5</f>
        <v>5</v>
      </c>
      <c r="F111" s="145"/>
      <c r="G111" s="145"/>
      <c r="H111" s="145"/>
      <c r="I111" s="145"/>
      <c r="J111" s="145"/>
      <c r="K111" s="145"/>
      <c r="L111" s="145"/>
      <c r="M111" s="204"/>
      <c r="N111" s="204"/>
      <c r="O111" s="204"/>
      <c r="P111" s="204"/>
    </row>
    <row r="112" spans="1:16" s="49" customFormat="1" ht="25.5">
      <c r="A112" s="348">
        <f t="shared" si="13"/>
        <v>83</v>
      </c>
      <c r="B112" s="405" t="s">
        <v>149</v>
      </c>
      <c r="C112" s="362" t="s">
        <v>303</v>
      </c>
      <c r="D112" s="355" t="s">
        <v>1779</v>
      </c>
      <c r="E112" s="364">
        <f>0.8</f>
        <v>0.8</v>
      </c>
      <c r="F112" s="145"/>
      <c r="G112" s="145"/>
      <c r="H112" s="145"/>
      <c r="I112" s="145"/>
      <c r="J112" s="145"/>
      <c r="K112" s="145"/>
      <c r="L112" s="145"/>
      <c r="M112" s="204"/>
      <c r="N112" s="204"/>
      <c r="O112" s="204"/>
      <c r="P112" s="204"/>
    </row>
    <row r="113" spans="1:16" s="49" customFormat="1" ht="25.5">
      <c r="A113" s="348">
        <f t="shared" si="13"/>
        <v>84</v>
      </c>
      <c r="B113" s="406" t="s">
        <v>149</v>
      </c>
      <c r="C113" s="407" t="s">
        <v>304</v>
      </c>
      <c r="D113" s="408" t="s">
        <v>85</v>
      </c>
      <c r="E113" s="409">
        <f>50</f>
        <v>50</v>
      </c>
      <c r="F113" s="150"/>
      <c r="G113" s="150"/>
      <c r="H113" s="150"/>
      <c r="I113" s="150"/>
      <c r="J113" s="150"/>
      <c r="K113" s="150"/>
      <c r="L113" s="150"/>
      <c r="M113" s="207"/>
      <c r="N113" s="207"/>
      <c r="O113" s="207"/>
      <c r="P113" s="207"/>
    </row>
    <row r="114" spans="1:16" s="49" customFormat="1">
      <c r="A114" s="410"/>
      <c r="B114" s="410"/>
      <c r="C114" s="399" t="s">
        <v>305</v>
      </c>
      <c r="D114" s="400"/>
      <c r="E114" s="401"/>
      <c r="F114" s="135"/>
      <c r="G114" s="135"/>
      <c r="H114" s="135"/>
      <c r="I114" s="135"/>
      <c r="J114" s="135"/>
      <c r="K114" s="135"/>
      <c r="L114" s="135"/>
      <c r="M114" s="136"/>
      <c r="N114" s="136"/>
      <c r="O114" s="136"/>
      <c r="P114" s="136"/>
    </row>
    <row r="115" spans="1:16" s="49" customFormat="1">
      <c r="A115" s="411">
        <f>A113+1</f>
        <v>85</v>
      </c>
      <c r="B115" s="411" t="s">
        <v>149</v>
      </c>
      <c r="C115" s="395" t="s">
        <v>306</v>
      </c>
      <c r="D115" s="396" t="s">
        <v>84</v>
      </c>
      <c r="E115" s="397">
        <f>0.3+1.6+1.6+1</f>
        <v>4.5</v>
      </c>
      <c r="F115" s="146"/>
      <c r="G115" s="146"/>
      <c r="H115" s="146"/>
      <c r="I115" s="146"/>
      <c r="J115" s="146"/>
      <c r="K115" s="146"/>
      <c r="L115" s="146"/>
      <c r="M115" s="205"/>
      <c r="N115" s="205"/>
      <c r="O115" s="205"/>
      <c r="P115" s="205"/>
    </row>
    <row r="116" spans="1:16" s="49" customFormat="1">
      <c r="A116" s="405">
        <f>A115+1</f>
        <v>86</v>
      </c>
      <c r="B116" s="405"/>
      <c r="C116" s="398" t="s">
        <v>307</v>
      </c>
      <c r="D116" s="355" t="s">
        <v>84</v>
      </c>
      <c r="E116" s="364">
        <f>0.3*1.1</f>
        <v>0.33</v>
      </c>
      <c r="F116" s="145"/>
      <c r="G116" s="145"/>
      <c r="H116" s="145"/>
      <c r="I116" s="145"/>
      <c r="J116" s="145"/>
      <c r="K116" s="145"/>
      <c r="L116" s="145"/>
      <c r="M116" s="204"/>
      <c r="N116" s="204"/>
      <c r="O116" s="204"/>
      <c r="P116" s="204"/>
    </row>
    <row r="117" spans="1:16" s="49" customFormat="1">
      <c r="A117" s="405">
        <f t="shared" ref="A117:A120" si="14">A116+1</f>
        <v>87</v>
      </c>
      <c r="B117" s="405"/>
      <c r="C117" s="398" t="s">
        <v>308</v>
      </c>
      <c r="D117" s="355" t="s">
        <v>84</v>
      </c>
      <c r="E117" s="364">
        <f>1.6*1.1</f>
        <v>1.7600000000000002</v>
      </c>
      <c r="F117" s="145"/>
      <c r="G117" s="145"/>
      <c r="H117" s="145"/>
      <c r="I117" s="145"/>
      <c r="J117" s="145"/>
      <c r="K117" s="145"/>
      <c r="L117" s="145"/>
      <c r="M117" s="204"/>
      <c r="N117" s="204"/>
      <c r="O117" s="204"/>
      <c r="P117" s="204"/>
    </row>
    <row r="118" spans="1:16" s="49" customFormat="1">
      <c r="A118" s="405">
        <f t="shared" si="14"/>
        <v>88</v>
      </c>
      <c r="B118" s="405"/>
      <c r="C118" s="398" t="s">
        <v>309</v>
      </c>
      <c r="D118" s="355" t="s">
        <v>84</v>
      </c>
      <c r="E118" s="364">
        <f>1*1.1</f>
        <v>1.1000000000000001</v>
      </c>
      <c r="F118" s="145"/>
      <c r="G118" s="145"/>
      <c r="H118" s="145"/>
      <c r="I118" s="145"/>
      <c r="J118" s="145"/>
      <c r="K118" s="145"/>
      <c r="L118" s="145"/>
      <c r="M118" s="204"/>
      <c r="N118" s="204"/>
      <c r="O118" s="204"/>
      <c r="P118" s="204"/>
    </row>
    <row r="119" spans="1:16" s="49" customFormat="1">
      <c r="A119" s="405">
        <f t="shared" si="14"/>
        <v>89</v>
      </c>
      <c r="B119" s="405"/>
      <c r="C119" s="398" t="s">
        <v>310</v>
      </c>
      <c r="D119" s="355" t="s">
        <v>84</v>
      </c>
      <c r="E119" s="364">
        <f>1.6*1.1</f>
        <v>1.7600000000000002</v>
      </c>
      <c r="F119" s="145"/>
      <c r="G119" s="145"/>
      <c r="H119" s="145"/>
      <c r="I119" s="145"/>
      <c r="J119" s="145"/>
      <c r="K119" s="145"/>
      <c r="L119" s="145"/>
      <c r="M119" s="204"/>
      <c r="N119" s="204"/>
      <c r="O119" s="204"/>
      <c r="P119" s="204"/>
    </row>
    <row r="120" spans="1:16" s="49" customFormat="1">
      <c r="A120" s="405">
        <f t="shared" si="14"/>
        <v>90</v>
      </c>
      <c r="B120" s="414"/>
      <c r="C120" s="415" t="s">
        <v>98</v>
      </c>
      <c r="D120" s="416" t="s">
        <v>87</v>
      </c>
      <c r="E120" s="369">
        <v>1</v>
      </c>
      <c r="F120" s="153"/>
      <c r="G120" s="153"/>
      <c r="H120" s="153"/>
      <c r="I120" s="153"/>
      <c r="J120" s="153"/>
      <c r="K120" s="153"/>
      <c r="L120" s="153"/>
      <c r="M120" s="208"/>
      <c r="N120" s="208"/>
      <c r="O120" s="208"/>
      <c r="P120" s="208"/>
    </row>
    <row r="121" spans="1:16">
      <c r="A121" s="890" t="s">
        <v>177</v>
      </c>
      <c r="B121" s="890"/>
      <c r="C121" s="890"/>
      <c r="D121" s="890"/>
      <c r="E121" s="890"/>
      <c r="F121" s="890"/>
      <c r="G121" s="890"/>
      <c r="H121" s="890"/>
      <c r="I121" s="890"/>
      <c r="J121" s="890"/>
      <c r="K121" s="890"/>
      <c r="L121" s="131">
        <f>SUM(L14:L120)</f>
        <v>0</v>
      </c>
      <c r="M121" s="131">
        <f>SUM(M14:M120)</f>
        <v>0</v>
      </c>
      <c r="N121" s="131">
        <f>SUM(N14:N120)</f>
        <v>0</v>
      </c>
      <c r="O121" s="131">
        <f>SUM(O14:O120)</f>
        <v>0</v>
      </c>
      <c r="P121" s="131">
        <f>SUM(P14:P120)</f>
        <v>0</v>
      </c>
    </row>
    <row r="122" spans="1:16" s="9" customFormat="1" collapsed="1">
      <c r="A122" s="885" t="s">
        <v>36</v>
      </c>
      <c r="B122" s="885"/>
      <c r="C122" s="1"/>
      <c r="D122" s="1"/>
      <c r="E122" s="98"/>
      <c r="F122" s="1"/>
      <c r="G122" s="1"/>
      <c r="H122" s="1"/>
      <c r="I122" s="1"/>
      <c r="J122" s="1"/>
      <c r="K122" s="1"/>
      <c r="L122" s="1"/>
      <c r="M122" s="1"/>
      <c r="N122" s="1"/>
      <c r="O122" s="1"/>
      <c r="P122" s="1"/>
    </row>
    <row r="123" spans="1:16" s="1" customFormat="1" ht="12.75" customHeight="1">
      <c r="A123" s="886" t="s">
        <v>56</v>
      </c>
      <c r="B123" s="886"/>
      <c r="C123" s="886"/>
      <c r="D123" s="886"/>
      <c r="E123" s="886"/>
      <c r="F123" s="886"/>
      <c r="G123" s="886"/>
      <c r="H123" s="886"/>
      <c r="I123" s="886"/>
      <c r="J123" s="886"/>
      <c r="K123" s="886"/>
      <c r="L123" s="886"/>
      <c r="M123" s="886"/>
      <c r="N123" s="886"/>
      <c r="O123" s="886"/>
      <c r="P123" s="886"/>
    </row>
    <row r="124" spans="1:16" s="1" customFormat="1" ht="12.75" customHeight="1">
      <c r="A124" s="903"/>
      <c r="B124" s="903"/>
      <c r="C124" s="9"/>
      <c r="D124" s="9"/>
      <c r="E124" s="111"/>
      <c r="F124" s="9"/>
      <c r="G124" s="9"/>
      <c r="H124" s="9"/>
      <c r="I124" s="9"/>
      <c r="J124" s="9"/>
      <c r="K124" s="9"/>
      <c r="L124" s="50">
        <f>Koptame!A92</f>
        <v>0</v>
      </c>
      <c r="M124" s="50"/>
      <c r="N124" s="50"/>
      <c r="O124" s="50"/>
      <c r="P124" s="50"/>
    </row>
    <row r="125" spans="1:16" s="1" customFormat="1" ht="12.75" customHeight="1">
      <c r="A125" s="902" t="s">
        <v>7</v>
      </c>
      <c r="B125" s="902"/>
      <c r="C125" s="307"/>
      <c r="D125" s="9"/>
      <c r="E125" s="111"/>
      <c r="F125" s="9"/>
      <c r="G125" s="9"/>
      <c r="H125" s="9"/>
      <c r="I125" s="9"/>
      <c r="J125" s="9"/>
      <c r="K125" s="9"/>
      <c r="L125" s="307"/>
      <c r="M125" s="887">
        <f>Koptame!B93</f>
        <v>0</v>
      </c>
      <c r="N125" s="887"/>
      <c r="O125" s="50"/>
      <c r="P125" s="50"/>
    </row>
    <row r="126" spans="1:16" s="1" customFormat="1" ht="12.75" customHeight="1">
      <c r="A126" s="77"/>
      <c r="B126" s="78"/>
      <c r="E126" s="98"/>
    </row>
    <row r="127" spans="1:16" s="9" customFormat="1">
      <c r="A127" s="313"/>
      <c r="B127" s="313"/>
      <c r="E127" s="111"/>
    </row>
    <row r="128" spans="1:16" s="9" customFormat="1">
      <c r="A128" s="313"/>
      <c r="B128" s="313"/>
      <c r="C128" s="307"/>
      <c r="E128" s="111"/>
      <c r="L128" s="307"/>
      <c r="M128" s="887"/>
      <c r="N128" s="887"/>
    </row>
    <row r="129" spans="1:14" s="9" customFormat="1">
      <c r="A129" s="313"/>
      <c r="B129" s="313"/>
      <c r="C129" s="305"/>
      <c r="E129" s="111"/>
      <c r="L129" s="305"/>
      <c r="M129" s="878"/>
      <c r="N129" s="878"/>
    </row>
    <row r="130" spans="1:14" s="9" customFormat="1" collapsed="1">
      <c r="A130" s="313"/>
      <c r="B130" s="79"/>
      <c r="E130" s="111"/>
      <c r="F130" s="51"/>
      <c r="G130" s="51"/>
    </row>
  </sheetData>
  <mergeCells count="27">
    <mergeCell ref="A10:A11"/>
    <mergeCell ref="A121:K121"/>
    <mergeCell ref="A2:P2"/>
    <mergeCell ref="A5:B5"/>
    <mergeCell ref="C5:P5"/>
    <mergeCell ref="L10:P10"/>
    <mergeCell ref="M129:N129"/>
    <mergeCell ref="C10:C11"/>
    <mergeCell ref="D10:D11"/>
    <mergeCell ref="A125:B125"/>
    <mergeCell ref="C6:P6"/>
    <mergeCell ref="M125:N125"/>
    <mergeCell ref="M128:N128"/>
    <mergeCell ref="A123:P123"/>
    <mergeCell ref="A6:B6"/>
    <mergeCell ref="F10:K10"/>
    <mergeCell ref="A122:B122"/>
    <mergeCell ref="C7:P7"/>
    <mergeCell ref="E10:E11"/>
    <mergeCell ref="B10:B11"/>
    <mergeCell ref="A7:B7"/>
    <mergeCell ref="A124:B124"/>
    <mergeCell ref="A1:P1"/>
    <mergeCell ref="A3:B3"/>
    <mergeCell ref="C3:P3"/>
    <mergeCell ref="A4:B4"/>
    <mergeCell ref="C4:P4"/>
  </mergeCells>
  <conditionalFormatting sqref="C108:C111 C80:C86 C89:C105 C114:C120 C13:C49 C51:C78">
    <cfRule type="expression" priority="1" stopIfTrue="1">
      <formula>#REF!</formula>
    </cfRule>
  </conditionalFormatting>
  <conditionalFormatting sqref="C108:C111 C80:C86 C89:C105 C114:C120">
    <cfRule type="expression" priority="2"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Q75"/>
  <sheetViews>
    <sheetView showZeros="0" topLeftCell="A7" zoomScale="75" zoomScaleNormal="75" zoomScaleSheetLayoutView="90" workbookViewId="0">
      <selection activeCell="E12" sqref="E12"/>
    </sheetView>
  </sheetViews>
  <sheetFormatPr defaultColWidth="9.140625" defaultRowHeight="15"/>
  <cols>
    <col min="1" max="1" width="8.85546875" style="80" customWidth="1"/>
    <col min="2" max="2" width="11.7109375" style="80" customWidth="1"/>
    <col min="3" max="3" width="45.5703125" style="46" customWidth="1"/>
    <col min="4" max="4" width="8.7109375" style="46" customWidth="1"/>
    <col min="5" max="5" width="8.7109375" style="321" customWidth="1"/>
    <col min="6" max="11" width="8.7109375" style="46" customWidth="1"/>
    <col min="12" max="16" width="12.7109375" style="46" customWidth="1"/>
    <col min="17" max="17" width="9.140625" style="189"/>
    <col min="18" max="16384" width="9.140625" style="46"/>
  </cols>
  <sheetData>
    <row r="1" spans="1:17" s="45" customFormat="1" ht="15.75">
      <c r="A1" s="891" t="s">
        <v>112</v>
      </c>
      <c r="B1" s="891"/>
      <c r="C1" s="891"/>
      <c r="D1" s="891"/>
      <c r="E1" s="891"/>
      <c r="F1" s="891"/>
      <c r="G1" s="891"/>
      <c r="H1" s="891"/>
      <c r="I1" s="891"/>
      <c r="J1" s="891"/>
      <c r="K1" s="891"/>
      <c r="L1" s="891"/>
      <c r="M1" s="891"/>
      <c r="N1" s="891"/>
      <c r="O1" s="891"/>
      <c r="P1" s="891"/>
      <c r="Q1" s="188"/>
    </row>
    <row r="2" spans="1:17" s="45" customFormat="1" ht="15.75">
      <c r="A2" s="899" t="s">
        <v>95</v>
      </c>
      <c r="B2" s="899"/>
      <c r="C2" s="899"/>
      <c r="D2" s="899"/>
      <c r="E2" s="899"/>
      <c r="F2" s="899"/>
      <c r="G2" s="899"/>
      <c r="H2" s="899"/>
      <c r="I2" s="899"/>
      <c r="J2" s="899"/>
      <c r="K2" s="899"/>
      <c r="L2" s="899"/>
      <c r="M2" s="899"/>
      <c r="N2" s="899"/>
      <c r="O2" s="899"/>
      <c r="P2" s="899"/>
      <c r="Q2" s="188"/>
    </row>
    <row r="3" spans="1:17" s="45" customFormat="1" ht="15.6" customHeight="1">
      <c r="A3" s="876" t="s">
        <v>10</v>
      </c>
      <c r="B3" s="876"/>
      <c r="C3" s="859" t="s">
        <v>117</v>
      </c>
      <c r="D3" s="859"/>
      <c r="E3" s="859"/>
      <c r="F3" s="859"/>
      <c r="G3" s="859"/>
      <c r="H3" s="859"/>
      <c r="I3" s="859"/>
      <c r="J3" s="859"/>
      <c r="K3" s="859"/>
      <c r="L3" s="859"/>
      <c r="M3" s="859"/>
      <c r="N3" s="859"/>
      <c r="O3" s="859"/>
      <c r="P3" s="859"/>
      <c r="Q3" s="188"/>
    </row>
    <row r="4" spans="1:17" s="45" customFormat="1" ht="15.6" customHeight="1">
      <c r="A4" s="876" t="s">
        <v>11</v>
      </c>
      <c r="B4" s="876"/>
      <c r="C4" s="859" t="s">
        <v>118</v>
      </c>
      <c r="D4" s="859"/>
      <c r="E4" s="859"/>
      <c r="F4" s="859"/>
      <c r="G4" s="859"/>
      <c r="H4" s="859"/>
      <c r="I4" s="859"/>
      <c r="J4" s="859"/>
      <c r="K4" s="859"/>
      <c r="L4" s="859"/>
      <c r="M4" s="859"/>
      <c r="N4" s="859"/>
      <c r="O4" s="859"/>
      <c r="P4" s="859"/>
      <c r="Q4" s="188"/>
    </row>
    <row r="5" spans="1:17" s="45" customFormat="1" ht="15.75">
      <c r="A5" s="876" t="s">
        <v>12</v>
      </c>
      <c r="B5" s="876"/>
      <c r="C5" s="859" t="s">
        <v>50</v>
      </c>
      <c r="D5" s="859"/>
      <c r="E5" s="859"/>
      <c r="F5" s="859"/>
      <c r="G5" s="859"/>
      <c r="H5" s="859"/>
      <c r="I5" s="859"/>
      <c r="J5" s="859"/>
      <c r="K5" s="859"/>
      <c r="L5" s="859"/>
      <c r="M5" s="859"/>
      <c r="N5" s="859"/>
      <c r="O5" s="859"/>
      <c r="P5" s="859"/>
      <c r="Q5" s="188"/>
    </row>
    <row r="6" spans="1:17" s="45" customFormat="1" ht="15.75">
      <c r="A6" s="876" t="s">
        <v>30</v>
      </c>
      <c r="B6" s="876"/>
      <c r="C6" s="874"/>
      <c r="D6" s="874"/>
      <c r="E6" s="874"/>
      <c r="F6" s="874"/>
      <c r="G6" s="874"/>
      <c r="H6" s="874"/>
      <c r="I6" s="874"/>
      <c r="J6" s="874"/>
      <c r="K6" s="874"/>
      <c r="L6" s="874"/>
      <c r="M6" s="874"/>
      <c r="N6" s="874"/>
      <c r="O6" s="874"/>
      <c r="P6" s="874"/>
      <c r="Q6" s="188"/>
    </row>
    <row r="7" spans="1:17" s="45" customFormat="1" ht="15.75">
      <c r="A7" s="876" t="s">
        <v>54</v>
      </c>
      <c r="B7" s="876"/>
      <c r="C7" s="873"/>
      <c r="D7" s="873"/>
      <c r="E7" s="873"/>
      <c r="F7" s="873"/>
      <c r="G7" s="873"/>
      <c r="H7" s="873"/>
      <c r="I7" s="873"/>
      <c r="J7" s="873"/>
      <c r="K7" s="873"/>
      <c r="L7" s="873"/>
      <c r="M7" s="873"/>
      <c r="N7" s="873"/>
      <c r="O7" s="873"/>
      <c r="P7" s="873"/>
      <c r="Q7" s="188"/>
    </row>
    <row r="8" spans="1:17" s="45" customFormat="1" ht="15.75">
      <c r="A8" s="73"/>
      <c r="B8" s="73"/>
      <c r="C8" s="73"/>
      <c r="D8" s="73"/>
      <c r="E8" s="104"/>
      <c r="F8" s="73"/>
      <c r="G8" s="73"/>
      <c r="H8" s="73"/>
      <c r="I8" s="73"/>
      <c r="J8" s="73"/>
      <c r="K8" s="73"/>
      <c r="L8" s="66"/>
      <c r="M8" s="66"/>
      <c r="N8" s="74"/>
      <c r="O8" s="63" t="s">
        <v>52</v>
      </c>
      <c r="P8" s="75">
        <f>P66</f>
        <v>0</v>
      </c>
      <c r="Q8" s="188"/>
    </row>
    <row r="9" spans="1:17">
      <c r="A9" s="46"/>
      <c r="B9" s="46"/>
    </row>
    <row r="10" spans="1:17" ht="14.25" customHeight="1">
      <c r="A10" s="879" t="s">
        <v>14</v>
      </c>
      <c r="B10" s="880" t="s">
        <v>21</v>
      </c>
      <c r="C10" s="882" t="s">
        <v>22</v>
      </c>
      <c r="D10" s="883" t="s">
        <v>23</v>
      </c>
      <c r="E10" s="884" t="s">
        <v>24</v>
      </c>
      <c r="F10" s="888" t="s">
        <v>25</v>
      </c>
      <c r="G10" s="888"/>
      <c r="H10" s="888"/>
      <c r="I10" s="888"/>
      <c r="J10" s="888"/>
      <c r="K10" s="888"/>
      <c r="L10" s="888" t="s">
        <v>26</v>
      </c>
      <c r="M10" s="888"/>
      <c r="N10" s="888"/>
      <c r="O10" s="888"/>
      <c r="P10" s="888"/>
    </row>
    <row r="11" spans="1:17" ht="73.5" customHeight="1">
      <c r="A11" s="879"/>
      <c r="B11" s="881"/>
      <c r="C11" s="882"/>
      <c r="D11" s="883"/>
      <c r="E11" s="884"/>
      <c r="F11" s="306" t="s">
        <v>27</v>
      </c>
      <c r="G11" s="306" t="s">
        <v>37</v>
      </c>
      <c r="H11" s="306" t="s">
        <v>38</v>
      </c>
      <c r="I11" s="306" t="s">
        <v>39</v>
      </c>
      <c r="J11" s="306" t="s">
        <v>40</v>
      </c>
      <c r="K11" s="306" t="s">
        <v>41</v>
      </c>
      <c r="L11" s="306" t="s">
        <v>18</v>
      </c>
      <c r="M11" s="306" t="s">
        <v>38</v>
      </c>
      <c r="N11" s="306" t="s">
        <v>39</v>
      </c>
      <c r="O11" s="306" t="s">
        <v>40</v>
      </c>
      <c r="P11" s="306" t="s">
        <v>42</v>
      </c>
    </row>
    <row r="12" spans="1:17">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7" s="49" customFormat="1">
      <c r="A13" s="370"/>
      <c r="B13" s="370"/>
      <c r="C13" s="417" t="s">
        <v>311</v>
      </c>
      <c r="D13" s="418"/>
      <c r="E13" s="439"/>
      <c r="F13" s="118"/>
      <c r="G13" s="118"/>
      <c r="H13" s="119"/>
      <c r="I13" s="119"/>
      <c r="J13" s="119"/>
      <c r="K13" s="119"/>
      <c r="L13" s="118"/>
      <c r="M13" s="120"/>
      <c r="N13" s="120"/>
      <c r="O13" s="120"/>
      <c r="P13" s="120"/>
      <c r="Q13" s="193"/>
    </row>
    <row r="14" spans="1:17" s="49" customFormat="1">
      <c r="A14" s="370"/>
      <c r="B14" s="370"/>
      <c r="C14" s="419" t="s">
        <v>312</v>
      </c>
      <c r="D14" s="418"/>
      <c r="E14" s="439"/>
      <c r="F14" s="118"/>
      <c r="G14" s="118"/>
      <c r="H14" s="119"/>
      <c r="I14" s="119"/>
      <c r="J14" s="119"/>
      <c r="K14" s="119"/>
      <c r="L14" s="118"/>
      <c r="M14" s="120"/>
      <c r="N14" s="120"/>
      <c r="O14" s="120"/>
      <c r="P14" s="120"/>
      <c r="Q14" s="193"/>
    </row>
    <row r="15" spans="1:17" s="49" customFormat="1">
      <c r="A15" s="344">
        <f t="shared" ref="A15:A20" si="0">A14+1</f>
        <v>1</v>
      </c>
      <c r="B15" s="344" t="s">
        <v>149</v>
      </c>
      <c r="C15" s="420" t="s">
        <v>313</v>
      </c>
      <c r="D15" s="421" t="s">
        <v>82</v>
      </c>
      <c r="E15" s="440">
        <f>12.8</f>
        <v>12.8</v>
      </c>
      <c r="F15" s="236"/>
      <c r="G15" s="236"/>
      <c r="H15" s="237"/>
      <c r="I15" s="237"/>
      <c r="J15" s="237"/>
      <c r="K15" s="237"/>
      <c r="L15" s="236"/>
      <c r="M15" s="238"/>
      <c r="N15" s="238"/>
      <c r="O15" s="238"/>
      <c r="P15" s="238"/>
      <c r="Q15" s="193"/>
    </row>
    <row r="16" spans="1:17" s="49" customFormat="1">
      <c r="A16" s="348">
        <f t="shared" si="0"/>
        <v>2</v>
      </c>
      <c r="B16" s="348" t="s">
        <v>149</v>
      </c>
      <c r="C16" s="423" t="s">
        <v>314</v>
      </c>
      <c r="D16" s="424" t="s">
        <v>82</v>
      </c>
      <c r="E16" s="354">
        <f>E15</f>
        <v>12.8</v>
      </c>
      <c r="F16" s="212"/>
      <c r="G16" s="212"/>
      <c r="H16" s="213"/>
      <c r="I16" s="213"/>
      <c r="J16" s="213"/>
      <c r="K16" s="213"/>
      <c r="L16" s="212"/>
      <c r="M16" s="214"/>
      <c r="N16" s="214"/>
      <c r="O16" s="214"/>
      <c r="P16" s="214"/>
      <c r="Q16" s="193"/>
    </row>
    <row r="17" spans="1:17" s="49" customFormat="1">
      <c r="A17" s="348">
        <f t="shared" si="0"/>
        <v>3</v>
      </c>
      <c r="B17" s="348" t="s">
        <v>149</v>
      </c>
      <c r="C17" s="423" t="s">
        <v>315</v>
      </c>
      <c r="D17" s="424" t="s">
        <v>82</v>
      </c>
      <c r="E17" s="354">
        <f>E15</f>
        <v>12.8</v>
      </c>
      <c r="F17" s="212"/>
      <c r="G17" s="212"/>
      <c r="H17" s="213"/>
      <c r="I17" s="213"/>
      <c r="J17" s="213"/>
      <c r="K17" s="213"/>
      <c r="L17" s="212"/>
      <c r="M17" s="214"/>
      <c r="N17" s="214"/>
      <c r="O17" s="214"/>
      <c r="P17" s="214"/>
      <c r="Q17" s="193"/>
    </row>
    <row r="18" spans="1:17" s="49" customFormat="1">
      <c r="A18" s="348">
        <f t="shared" si="0"/>
        <v>4</v>
      </c>
      <c r="B18" s="348" t="s">
        <v>149</v>
      </c>
      <c r="C18" s="423" t="s">
        <v>316</v>
      </c>
      <c r="D18" s="424" t="s">
        <v>82</v>
      </c>
      <c r="E18" s="354">
        <f>E15</f>
        <v>12.8</v>
      </c>
      <c r="F18" s="212"/>
      <c r="G18" s="212"/>
      <c r="H18" s="213"/>
      <c r="I18" s="213"/>
      <c r="J18" s="213"/>
      <c r="K18" s="213"/>
      <c r="L18" s="212"/>
      <c r="M18" s="214"/>
      <c r="N18" s="214"/>
      <c r="O18" s="214"/>
      <c r="P18" s="214"/>
      <c r="Q18" s="193"/>
    </row>
    <row r="19" spans="1:17" s="49" customFormat="1">
      <c r="A19" s="348">
        <f t="shared" si="0"/>
        <v>5</v>
      </c>
      <c r="B19" s="348" t="s">
        <v>149</v>
      </c>
      <c r="C19" s="423" t="s">
        <v>317</v>
      </c>
      <c r="D19" s="424" t="s">
        <v>82</v>
      </c>
      <c r="E19" s="354">
        <f>E15</f>
        <v>12.8</v>
      </c>
      <c r="F19" s="212"/>
      <c r="G19" s="212"/>
      <c r="H19" s="213"/>
      <c r="I19" s="213"/>
      <c r="J19" s="213"/>
      <c r="K19" s="213"/>
      <c r="L19" s="212"/>
      <c r="M19" s="214"/>
      <c r="N19" s="214"/>
      <c r="O19" s="214"/>
      <c r="P19" s="214"/>
      <c r="Q19" s="193"/>
    </row>
    <row r="20" spans="1:17" s="49" customFormat="1" ht="24">
      <c r="A20" s="380">
        <f t="shared" si="0"/>
        <v>6</v>
      </c>
      <c r="B20" s="380" t="s">
        <v>149</v>
      </c>
      <c r="C20" s="381" t="s">
        <v>318</v>
      </c>
      <c r="D20" s="382" t="str">
        <f>D15</f>
        <v>m2</v>
      </c>
      <c r="E20" s="441">
        <f>E15</f>
        <v>12.8</v>
      </c>
      <c r="F20" s="230"/>
      <c r="G20" s="230"/>
      <c r="H20" s="231"/>
      <c r="I20" s="231"/>
      <c r="J20" s="231"/>
      <c r="K20" s="231"/>
      <c r="L20" s="230"/>
      <c r="M20" s="232"/>
      <c r="N20" s="232"/>
      <c r="O20" s="232"/>
      <c r="P20" s="232"/>
      <c r="Q20" s="193"/>
    </row>
    <row r="21" spans="1:17" s="49" customFormat="1">
      <c r="A21" s="370"/>
      <c r="B21" s="370"/>
      <c r="C21" s="419" t="s">
        <v>319</v>
      </c>
      <c r="D21" s="418"/>
      <c r="E21" s="439"/>
      <c r="F21" s="118"/>
      <c r="G21" s="118"/>
      <c r="H21" s="119"/>
      <c r="I21" s="119"/>
      <c r="J21" s="119"/>
      <c r="K21" s="119"/>
      <c r="L21" s="118"/>
      <c r="M21" s="120"/>
      <c r="N21" s="120"/>
      <c r="O21" s="120"/>
      <c r="P21" s="120"/>
      <c r="Q21" s="193"/>
    </row>
    <row r="22" spans="1:17" s="49" customFormat="1">
      <c r="A22" s="385">
        <f>A20+1</f>
        <v>7</v>
      </c>
      <c r="B22" s="385" t="s">
        <v>149</v>
      </c>
      <c r="C22" s="386" t="s">
        <v>320</v>
      </c>
      <c r="D22" s="387" t="s">
        <v>82</v>
      </c>
      <c r="E22" s="433">
        <f>109.82</f>
        <v>109.82</v>
      </c>
      <c r="F22" s="233"/>
      <c r="G22" s="233"/>
      <c r="H22" s="234"/>
      <c r="I22" s="234"/>
      <c r="J22" s="234"/>
      <c r="K22" s="234"/>
      <c r="L22" s="233"/>
      <c r="M22" s="235"/>
      <c r="N22" s="235"/>
      <c r="O22" s="235"/>
      <c r="P22" s="235"/>
      <c r="Q22" s="193"/>
    </row>
    <row r="23" spans="1:17" s="49" customFormat="1">
      <c r="A23" s="348">
        <f>A22+1</f>
        <v>8</v>
      </c>
      <c r="B23" s="348" t="s">
        <v>149</v>
      </c>
      <c r="C23" s="377" t="s">
        <v>321</v>
      </c>
      <c r="D23" s="378" t="str">
        <f>D22</f>
        <v>m2</v>
      </c>
      <c r="E23" s="354">
        <f>E22</f>
        <v>109.82</v>
      </c>
      <c r="F23" s="212"/>
      <c r="G23" s="212"/>
      <c r="H23" s="213"/>
      <c r="I23" s="213"/>
      <c r="J23" s="213"/>
      <c r="K23" s="213"/>
      <c r="L23" s="212"/>
      <c r="M23" s="214"/>
      <c r="N23" s="214"/>
      <c r="O23" s="214"/>
      <c r="P23" s="214"/>
      <c r="Q23" s="193"/>
    </row>
    <row r="24" spans="1:17" s="49" customFormat="1">
      <c r="A24" s="348">
        <f>A23+1</f>
        <v>9</v>
      </c>
      <c r="B24" s="348" t="s">
        <v>149</v>
      </c>
      <c r="C24" s="423" t="s">
        <v>313</v>
      </c>
      <c r="D24" s="424" t="s">
        <v>82</v>
      </c>
      <c r="E24" s="354">
        <f>E22</f>
        <v>109.82</v>
      </c>
      <c r="F24" s="212"/>
      <c r="G24" s="212"/>
      <c r="H24" s="213"/>
      <c r="I24" s="213"/>
      <c r="J24" s="213"/>
      <c r="K24" s="213"/>
      <c r="L24" s="212"/>
      <c r="M24" s="214"/>
      <c r="N24" s="214"/>
      <c r="O24" s="214"/>
      <c r="P24" s="214"/>
      <c r="Q24" s="193"/>
    </row>
    <row r="25" spans="1:17" s="49" customFormat="1">
      <c r="A25" s="348">
        <f>A24+1</f>
        <v>10</v>
      </c>
      <c r="B25" s="348" t="s">
        <v>149</v>
      </c>
      <c r="C25" s="423" t="s">
        <v>313</v>
      </c>
      <c r="D25" s="424" t="s">
        <v>82</v>
      </c>
      <c r="E25" s="354">
        <f>E22</f>
        <v>109.82</v>
      </c>
      <c r="F25" s="212"/>
      <c r="G25" s="212"/>
      <c r="H25" s="213"/>
      <c r="I25" s="213"/>
      <c r="J25" s="213"/>
      <c r="K25" s="213"/>
      <c r="L25" s="212"/>
      <c r="M25" s="214"/>
      <c r="N25" s="214"/>
      <c r="O25" s="214"/>
      <c r="P25" s="214"/>
      <c r="Q25" s="193"/>
    </row>
    <row r="26" spans="1:17" s="49" customFormat="1" ht="24">
      <c r="A26" s="380">
        <f>A25+1</f>
        <v>11</v>
      </c>
      <c r="B26" s="380" t="s">
        <v>149</v>
      </c>
      <c r="C26" s="427" t="s">
        <v>322</v>
      </c>
      <c r="D26" s="425" t="s">
        <v>82</v>
      </c>
      <c r="E26" s="441">
        <f>E22</f>
        <v>109.82</v>
      </c>
      <c r="F26" s="230"/>
      <c r="G26" s="230"/>
      <c r="H26" s="231"/>
      <c r="I26" s="231"/>
      <c r="J26" s="231"/>
      <c r="K26" s="231"/>
      <c r="L26" s="230"/>
      <c r="M26" s="232"/>
      <c r="N26" s="232"/>
      <c r="O26" s="232"/>
      <c r="P26" s="232"/>
      <c r="Q26" s="193"/>
    </row>
    <row r="27" spans="1:17" s="49" customFormat="1">
      <c r="A27" s="370"/>
      <c r="B27" s="370"/>
      <c r="C27" s="419" t="s">
        <v>323</v>
      </c>
      <c r="D27" s="418"/>
      <c r="E27" s="439"/>
      <c r="F27" s="118"/>
      <c r="G27" s="118"/>
      <c r="H27" s="119"/>
      <c r="I27" s="119"/>
      <c r="J27" s="119"/>
      <c r="K27" s="119"/>
      <c r="L27" s="118"/>
      <c r="M27" s="120"/>
      <c r="N27" s="120"/>
      <c r="O27" s="120"/>
      <c r="P27" s="120"/>
      <c r="Q27" s="193"/>
    </row>
    <row r="28" spans="1:17" s="49" customFormat="1">
      <c r="A28" s="385">
        <f>A26+1</f>
        <v>12</v>
      </c>
      <c r="B28" s="385" t="s">
        <v>149</v>
      </c>
      <c r="C28" s="428" t="s">
        <v>314</v>
      </c>
      <c r="D28" s="426" t="s">
        <v>82</v>
      </c>
      <c r="E28" s="433">
        <f>727.06</f>
        <v>727.06</v>
      </c>
      <c r="F28" s="233"/>
      <c r="G28" s="233"/>
      <c r="H28" s="234"/>
      <c r="I28" s="234"/>
      <c r="J28" s="234"/>
      <c r="K28" s="234"/>
      <c r="L28" s="233"/>
      <c r="M28" s="235"/>
      <c r="N28" s="235"/>
      <c r="O28" s="235"/>
      <c r="P28" s="235"/>
      <c r="Q28" s="193"/>
    </row>
    <row r="29" spans="1:17" s="49" customFormat="1">
      <c r="A29" s="348">
        <f>A28+1</f>
        <v>13</v>
      </c>
      <c r="B29" s="348" t="s">
        <v>149</v>
      </c>
      <c r="C29" s="423" t="s">
        <v>315</v>
      </c>
      <c r="D29" s="424" t="s">
        <v>82</v>
      </c>
      <c r="E29" s="354">
        <f>E28</f>
        <v>727.06</v>
      </c>
      <c r="F29" s="212"/>
      <c r="G29" s="212"/>
      <c r="H29" s="213"/>
      <c r="I29" s="213"/>
      <c r="J29" s="213"/>
      <c r="K29" s="213"/>
      <c r="L29" s="212"/>
      <c r="M29" s="214"/>
      <c r="N29" s="214"/>
      <c r="O29" s="214"/>
      <c r="P29" s="214"/>
      <c r="Q29" s="193"/>
    </row>
    <row r="30" spans="1:17" s="49" customFormat="1">
      <c r="A30" s="348">
        <f>A29+1</f>
        <v>14</v>
      </c>
      <c r="B30" s="348" t="s">
        <v>149</v>
      </c>
      <c r="C30" s="423" t="s">
        <v>316</v>
      </c>
      <c r="D30" s="424" t="s">
        <v>82</v>
      </c>
      <c r="E30" s="354">
        <f>E28</f>
        <v>727.06</v>
      </c>
      <c r="F30" s="212"/>
      <c r="G30" s="212"/>
      <c r="H30" s="213"/>
      <c r="I30" s="213"/>
      <c r="J30" s="213"/>
      <c r="K30" s="213"/>
      <c r="L30" s="212"/>
      <c r="M30" s="214"/>
      <c r="N30" s="214"/>
      <c r="O30" s="214"/>
      <c r="P30" s="214"/>
      <c r="Q30" s="193"/>
    </row>
    <row r="31" spans="1:17" s="49" customFormat="1">
      <c r="A31" s="380">
        <f>A30+1</f>
        <v>15</v>
      </c>
      <c r="B31" s="380" t="s">
        <v>149</v>
      </c>
      <c r="C31" s="427" t="s">
        <v>317</v>
      </c>
      <c r="D31" s="425" t="s">
        <v>82</v>
      </c>
      <c r="E31" s="441">
        <f>E28</f>
        <v>727.06</v>
      </c>
      <c r="F31" s="230"/>
      <c r="G31" s="230"/>
      <c r="H31" s="231"/>
      <c r="I31" s="231"/>
      <c r="J31" s="231"/>
      <c r="K31" s="231"/>
      <c r="L31" s="230"/>
      <c r="M31" s="232"/>
      <c r="N31" s="232"/>
      <c r="O31" s="232"/>
      <c r="P31" s="232"/>
      <c r="Q31" s="193"/>
    </row>
    <row r="32" spans="1:17" s="49" customFormat="1">
      <c r="A32" s="370"/>
      <c r="B32" s="370"/>
      <c r="C32" s="429" t="s">
        <v>324</v>
      </c>
      <c r="D32" s="430"/>
      <c r="E32" s="442"/>
      <c r="F32" s="118"/>
      <c r="G32" s="118"/>
      <c r="H32" s="119"/>
      <c r="I32" s="119"/>
      <c r="J32" s="119"/>
      <c r="K32" s="119"/>
      <c r="L32" s="118"/>
      <c r="M32" s="120"/>
      <c r="N32" s="120"/>
      <c r="O32" s="120"/>
      <c r="P32" s="120"/>
      <c r="Q32" s="193"/>
    </row>
    <row r="33" spans="1:17" s="49" customFormat="1">
      <c r="A33" s="385">
        <f>A31+1</f>
        <v>16</v>
      </c>
      <c r="B33" s="385" t="s">
        <v>149</v>
      </c>
      <c r="C33" s="386" t="s">
        <v>325</v>
      </c>
      <c r="D33" s="387" t="s">
        <v>82</v>
      </c>
      <c r="E33" s="433">
        <f>54.2</f>
        <v>54.2</v>
      </c>
      <c r="F33" s="233"/>
      <c r="G33" s="233"/>
      <c r="H33" s="234"/>
      <c r="I33" s="234"/>
      <c r="J33" s="234"/>
      <c r="K33" s="234"/>
      <c r="L33" s="233"/>
      <c r="M33" s="235"/>
      <c r="N33" s="235"/>
      <c r="O33" s="235"/>
      <c r="P33" s="235"/>
      <c r="Q33" s="193"/>
    </row>
    <row r="34" spans="1:17" s="49" customFormat="1">
      <c r="A34" s="348">
        <f>A33+1</f>
        <v>17</v>
      </c>
      <c r="B34" s="348" t="s">
        <v>149</v>
      </c>
      <c r="C34" s="377" t="s">
        <v>326</v>
      </c>
      <c r="D34" s="378" t="s">
        <v>82</v>
      </c>
      <c r="E34" s="354">
        <f>54.2</f>
        <v>54.2</v>
      </c>
      <c r="F34" s="212"/>
      <c r="G34" s="212"/>
      <c r="H34" s="213"/>
      <c r="I34" s="213"/>
      <c r="J34" s="213"/>
      <c r="K34" s="213"/>
      <c r="L34" s="212"/>
      <c r="M34" s="214"/>
      <c r="N34" s="214"/>
      <c r="O34" s="214"/>
      <c r="P34" s="214"/>
      <c r="Q34" s="193"/>
    </row>
    <row r="35" spans="1:17" s="49" customFormat="1" ht="24">
      <c r="A35" s="348">
        <f>A34+1</f>
        <v>18</v>
      </c>
      <c r="B35" s="348" t="s">
        <v>149</v>
      </c>
      <c r="C35" s="377" t="s">
        <v>327</v>
      </c>
      <c r="D35" s="378" t="s">
        <v>82</v>
      </c>
      <c r="E35" s="354">
        <f>64.4</f>
        <v>64.400000000000006</v>
      </c>
      <c r="F35" s="212"/>
      <c r="G35" s="212"/>
      <c r="H35" s="213"/>
      <c r="I35" s="213"/>
      <c r="J35" s="213"/>
      <c r="K35" s="213"/>
      <c r="L35" s="212"/>
      <c r="M35" s="214"/>
      <c r="N35" s="214"/>
      <c r="O35" s="214"/>
      <c r="P35" s="214"/>
      <c r="Q35" s="193"/>
    </row>
    <row r="36" spans="1:17" s="49" customFormat="1" ht="24">
      <c r="A36" s="348">
        <f>A35+1</f>
        <v>19</v>
      </c>
      <c r="B36" s="348" t="s">
        <v>149</v>
      </c>
      <c r="C36" s="423" t="s">
        <v>322</v>
      </c>
      <c r="D36" s="424" t="s">
        <v>82</v>
      </c>
      <c r="E36" s="354">
        <f>64.4</f>
        <v>64.400000000000006</v>
      </c>
      <c r="F36" s="212"/>
      <c r="G36" s="212"/>
      <c r="H36" s="213"/>
      <c r="I36" s="213"/>
      <c r="J36" s="213"/>
      <c r="K36" s="213"/>
      <c r="L36" s="212"/>
      <c r="M36" s="214"/>
      <c r="N36" s="214"/>
      <c r="O36" s="214"/>
      <c r="P36" s="214"/>
      <c r="Q36" s="193"/>
    </row>
    <row r="37" spans="1:17" s="49" customFormat="1">
      <c r="A37" s="348">
        <f>A36+1</f>
        <v>20</v>
      </c>
      <c r="B37" s="348" t="s">
        <v>149</v>
      </c>
      <c r="C37" s="423" t="s">
        <v>328</v>
      </c>
      <c r="D37" s="424" t="s">
        <v>77</v>
      </c>
      <c r="E37" s="354">
        <f>E38</f>
        <v>27</v>
      </c>
      <c r="F37" s="212"/>
      <c r="G37" s="212"/>
      <c r="H37" s="213"/>
      <c r="I37" s="213"/>
      <c r="J37" s="213"/>
      <c r="K37" s="213"/>
      <c r="L37" s="212"/>
      <c r="M37" s="214"/>
      <c r="N37" s="214"/>
      <c r="O37" s="214"/>
      <c r="P37" s="214"/>
      <c r="Q37" s="193"/>
    </row>
    <row r="38" spans="1:17" s="49" customFormat="1">
      <c r="A38" s="380">
        <f>A37+1</f>
        <v>21</v>
      </c>
      <c r="B38" s="380" t="s">
        <v>149</v>
      </c>
      <c r="C38" s="381" t="s">
        <v>329</v>
      </c>
      <c r="D38" s="382" t="s">
        <v>77</v>
      </c>
      <c r="E38" s="441">
        <v>27</v>
      </c>
      <c r="F38" s="230"/>
      <c r="G38" s="230"/>
      <c r="H38" s="231"/>
      <c r="I38" s="231"/>
      <c r="J38" s="231"/>
      <c r="K38" s="231"/>
      <c r="L38" s="230"/>
      <c r="M38" s="232"/>
      <c r="N38" s="232"/>
      <c r="O38" s="232"/>
      <c r="P38" s="232"/>
      <c r="Q38" s="193"/>
    </row>
    <row r="39" spans="1:17" s="49" customFormat="1">
      <c r="A39" s="370"/>
      <c r="B39" s="370"/>
      <c r="C39" s="429" t="s">
        <v>330</v>
      </c>
      <c r="D39" s="430"/>
      <c r="E39" s="442"/>
      <c r="F39" s="118"/>
      <c r="G39" s="118"/>
      <c r="H39" s="119"/>
      <c r="I39" s="119"/>
      <c r="J39" s="119"/>
      <c r="K39" s="119"/>
      <c r="L39" s="118"/>
      <c r="M39" s="120"/>
      <c r="N39" s="120"/>
      <c r="O39" s="120"/>
      <c r="P39" s="120"/>
      <c r="Q39" s="193"/>
    </row>
    <row r="40" spans="1:17" s="49" customFormat="1">
      <c r="A40" s="385">
        <f>A38+1</f>
        <v>22</v>
      </c>
      <c r="B40" s="385" t="s">
        <v>149</v>
      </c>
      <c r="C40" s="428" t="s">
        <v>331</v>
      </c>
      <c r="D40" s="387" t="s">
        <v>82</v>
      </c>
      <c r="E40" s="433">
        <f>4.9</f>
        <v>4.9000000000000004</v>
      </c>
      <c r="F40" s="233"/>
      <c r="G40" s="233"/>
      <c r="H40" s="234"/>
      <c r="I40" s="234"/>
      <c r="J40" s="234"/>
      <c r="K40" s="234"/>
      <c r="L40" s="233"/>
      <c r="M40" s="235"/>
      <c r="N40" s="235"/>
      <c r="O40" s="235"/>
      <c r="P40" s="235"/>
      <c r="Q40" s="193"/>
    </row>
    <row r="41" spans="1:17" s="49" customFormat="1" ht="24">
      <c r="A41" s="348">
        <f>A40+1</f>
        <v>23</v>
      </c>
      <c r="B41" s="348" t="s">
        <v>149</v>
      </c>
      <c r="C41" s="423" t="s">
        <v>322</v>
      </c>
      <c r="D41" s="424" t="s">
        <v>82</v>
      </c>
      <c r="E41" s="354">
        <f>4.9</f>
        <v>4.9000000000000004</v>
      </c>
      <c r="F41" s="212"/>
      <c r="G41" s="212"/>
      <c r="H41" s="213"/>
      <c r="I41" s="213"/>
      <c r="J41" s="213"/>
      <c r="K41" s="213"/>
      <c r="L41" s="212"/>
      <c r="M41" s="214"/>
      <c r="N41" s="214"/>
      <c r="O41" s="214"/>
      <c r="P41" s="214"/>
      <c r="Q41" s="193"/>
    </row>
    <row r="42" spans="1:17" s="49" customFormat="1">
      <c r="A42" s="380">
        <f>A41+1</f>
        <v>24</v>
      </c>
      <c r="B42" s="380" t="s">
        <v>149</v>
      </c>
      <c r="C42" s="427" t="s">
        <v>328</v>
      </c>
      <c r="D42" s="425" t="s">
        <v>77</v>
      </c>
      <c r="E42" s="441">
        <f>4.9</f>
        <v>4.9000000000000004</v>
      </c>
      <c r="F42" s="230"/>
      <c r="G42" s="230"/>
      <c r="H42" s="231"/>
      <c r="I42" s="231"/>
      <c r="J42" s="231"/>
      <c r="K42" s="231"/>
      <c r="L42" s="230"/>
      <c r="M42" s="232"/>
      <c r="N42" s="232"/>
      <c r="O42" s="232"/>
      <c r="P42" s="232"/>
      <c r="Q42" s="193"/>
    </row>
    <row r="43" spans="1:17" s="49" customFormat="1">
      <c r="A43" s="370"/>
      <c r="B43" s="370"/>
      <c r="C43" s="429" t="s">
        <v>332</v>
      </c>
      <c r="D43" s="430"/>
      <c r="E43" s="442"/>
      <c r="F43" s="118"/>
      <c r="G43" s="118"/>
      <c r="H43" s="119"/>
      <c r="I43" s="119"/>
      <c r="J43" s="119"/>
      <c r="K43" s="119"/>
      <c r="L43" s="118"/>
      <c r="M43" s="120"/>
      <c r="N43" s="120"/>
      <c r="O43" s="120"/>
      <c r="P43" s="120"/>
      <c r="Q43" s="193"/>
    </row>
    <row r="44" spans="1:17" s="49" customFormat="1">
      <c r="A44" s="385">
        <f>A42+1</f>
        <v>25</v>
      </c>
      <c r="B44" s="385" t="s">
        <v>149</v>
      </c>
      <c r="C44" s="386" t="s">
        <v>325</v>
      </c>
      <c r="D44" s="387" t="s">
        <v>82</v>
      </c>
      <c r="E44" s="433">
        <f>18.9</f>
        <v>18.899999999999999</v>
      </c>
      <c r="F44" s="233"/>
      <c r="G44" s="233"/>
      <c r="H44" s="234"/>
      <c r="I44" s="234"/>
      <c r="J44" s="234"/>
      <c r="K44" s="234"/>
      <c r="L44" s="233"/>
      <c r="M44" s="235"/>
      <c r="N44" s="235"/>
      <c r="O44" s="235"/>
      <c r="P44" s="235"/>
      <c r="Q44" s="193"/>
    </row>
    <row r="45" spans="1:17" s="49" customFormat="1">
      <c r="A45" s="348">
        <f>A44+1</f>
        <v>26</v>
      </c>
      <c r="B45" s="348" t="s">
        <v>149</v>
      </c>
      <c r="C45" s="377" t="s">
        <v>326</v>
      </c>
      <c r="D45" s="378" t="s">
        <v>82</v>
      </c>
      <c r="E45" s="354">
        <f>5.8</f>
        <v>5.8</v>
      </c>
      <c r="F45" s="212"/>
      <c r="G45" s="212"/>
      <c r="H45" s="213"/>
      <c r="I45" s="213"/>
      <c r="J45" s="213"/>
      <c r="K45" s="213"/>
      <c r="L45" s="212"/>
      <c r="M45" s="214"/>
      <c r="N45" s="214"/>
      <c r="O45" s="214"/>
      <c r="P45" s="214"/>
      <c r="Q45" s="193"/>
    </row>
    <row r="46" spans="1:17" s="49" customFormat="1" ht="24">
      <c r="A46" s="348">
        <f>A45+1</f>
        <v>27</v>
      </c>
      <c r="B46" s="348" t="s">
        <v>149</v>
      </c>
      <c r="C46" s="377" t="s">
        <v>327</v>
      </c>
      <c r="D46" s="378" t="s">
        <v>82</v>
      </c>
      <c r="E46" s="354">
        <f>23.4</f>
        <v>23.4</v>
      </c>
      <c r="F46" s="212"/>
      <c r="G46" s="212"/>
      <c r="H46" s="213"/>
      <c r="I46" s="213"/>
      <c r="J46" s="213"/>
      <c r="K46" s="213"/>
      <c r="L46" s="212"/>
      <c r="M46" s="214"/>
      <c r="N46" s="214"/>
      <c r="O46" s="214"/>
      <c r="P46" s="214"/>
      <c r="Q46" s="193"/>
    </row>
    <row r="47" spans="1:17" s="49" customFormat="1" ht="24">
      <c r="A47" s="348">
        <f>A46+1</f>
        <v>28</v>
      </c>
      <c r="B47" s="348" t="s">
        <v>149</v>
      </c>
      <c r="C47" s="423" t="s">
        <v>322</v>
      </c>
      <c r="D47" s="424" t="s">
        <v>82</v>
      </c>
      <c r="E47" s="354">
        <f>22.8</f>
        <v>22.8</v>
      </c>
      <c r="F47" s="212"/>
      <c r="G47" s="212"/>
      <c r="H47" s="213"/>
      <c r="I47" s="213"/>
      <c r="J47" s="213"/>
      <c r="K47" s="213"/>
      <c r="L47" s="212"/>
      <c r="M47" s="214"/>
      <c r="N47" s="214"/>
      <c r="O47" s="214"/>
      <c r="P47" s="214"/>
      <c r="Q47" s="193"/>
    </row>
    <row r="48" spans="1:17" s="49" customFormat="1">
      <c r="A48" s="348">
        <f>A47+1</f>
        <v>29</v>
      </c>
      <c r="B48" s="348" t="s">
        <v>149</v>
      </c>
      <c r="C48" s="423" t="s">
        <v>328</v>
      </c>
      <c r="D48" s="424" t="s">
        <v>77</v>
      </c>
      <c r="E48" s="354">
        <f>11.4</f>
        <v>11.4</v>
      </c>
      <c r="F48" s="212"/>
      <c r="G48" s="212"/>
      <c r="H48" s="213"/>
      <c r="I48" s="213"/>
      <c r="J48" s="213"/>
      <c r="K48" s="213"/>
      <c r="L48" s="212"/>
      <c r="M48" s="214"/>
      <c r="N48" s="214"/>
      <c r="O48" s="214"/>
      <c r="P48" s="214"/>
      <c r="Q48" s="193"/>
    </row>
    <row r="49" spans="1:17" s="49" customFormat="1">
      <c r="A49" s="380">
        <f>A48+1</f>
        <v>30</v>
      </c>
      <c r="B49" s="380" t="s">
        <v>149</v>
      </c>
      <c r="C49" s="381" t="s">
        <v>329</v>
      </c>
      <c r="D49" s="382" t="s">
        <v>77</v>
      </c>
      <c r="E49" s="441">
        <f>11.4</f>
        <v>11.4</v>
      </c>
      <c r="F49" s="230"/>
      <c r="G49" s="230"/>
      <c r="H49" s="231"/>
      <c r="I49" s="231"/>
      <c r="J49" s="231"/>
      <c r="K49" s="231"/>
      <c r="L49" s="230"/>
      <c r="M49" s="232"/>
      <c r="N49" s="232"/>
      <c r="O49" s="232"/>
      <c r="P49" s="232"/>
      <c r="Q49" s="193"/>
    </row>
    <row r="50" spans="1:17" s="49" customFormat="1">
      <c r="A50" s="370"/>
      <c r="B50" s="370"/>
      <c r="C50" s="429" t="s">
        <v>333</v>
      </c>
      <c r="D50" s="430"/>
      <c r="E50" s="442"/>
      <c r="F50" s="118"/>
      <c r="G50" s="118"/>
      <c r="H50" s="119"/>
      <c r="I50" s="119"/>
      <c r="J50" s="119"/>
      <c r="K50" s="119"/>
      <c r="L50" s="118"/>
      <c r="M50" s="120"/>
      <c r="N50" s="120"/>
      <c r="O50" s="120"/>
      <c r="P50" s="120"/>
      <c r="Q50" s="193"/>
    </row>
    <row r="51" spans="1:17" s="49" customFormat="1">
      <c r="A51" s="385">
        <f>A49+1</f>
        <v>31</v>
      </c>
      <c r="B51" s="385" t="s">
        <v>149</v>
      </c>
      <c r="C51" s="386" t="s">
        <v>325</v>
      </c>
      <c r="D51" s="387" t="s">
        <v>82</v>
      </c>
      <c r="E51" s="433">
        <f>17.3</f>
        <v>17.3</v>
      </c>
      <c r="F51" s="233"/>
      <c r="G51" s="233"/>
      <c r="H51" s="234"/>
      <c r="I51" s="234"/>
      <c r="J51" s="234"/>
      <c r="K51" s="234"/>
      <c r="L51" s="233"/>
      <c r="M51" s="235"/>
      <c r="N51" s="235"/>
      <c r="O51" s="235"/>
      <c r="P51" s="235"/>
      <c r="Q51" s="193"/>
    </row>
    <row r="52" spans="1:17" s="49" customFormat="1">
      <c r="A52" s="348">
        <f>A51+1</f>
        <v>32</v>
      </c>
      <c r="B52" s="348" t="s">
        <v>149</v>
      </c>
      <c r="C52" s="377" t="s">
        <v>326</v>
      </c>
      <c r="D52" s="378" t="s">
        <v>82</v>
      </c>
      <c r="E52" s="354">
        <f>7</f>
        <v>7</v>
      </c>
      <c r="F52" s="212"/>
      <c r="G52" s="212"/>
      <c r="H52" s="213"/>
      <c r="I52" s="213"/>
      <c r="J52" s="213"/>
      <c r="K52" s="213"/>
      <c r="L52" s="212"/>
      <c r="M52" s="214"/>
      <c r="N52" s="214"/>
      <c r="O52" s="214"/>
      <c r="P52" s="214"/>
      <c r="Q52" s="193"/>
    </row>
    <row r="53" spans="1:17" s="49" customFormat="1" ht="24">
      <c r="A53" s="348">
        <f>A52+1</f>
        <v>33</v>
      </c>
      <c r="B53" s="348" t="s">
        <v>149</v>
      </c>
      <c r="C53" s="377" t="s">
        <v>327</v>
      </c>
      <c r="D53" s="378" t="s">
        <v>82</v>
      </c>
      <c r="E53" s="354">
        <f>22.6</f>
        <v>22.6</v>
      </c>
      <c r="F53" s="212"/>
      <c r="G53" s="212"/>
      <c r="H53" s="213"/>
      <c r="I53" s="213"/>
      <c r="J53" s="213"/>
      <c r="K53" s="213"/>
      <c r="L53" s="212"/>
      <c r="M53" s="214"/>
      <c r="N53" s="214"/>
      <c r="O53" s="214"/>
      <c r="P53" s="214"/>
      <c r="Q53" s="193"/>
    </row>
    <row r="54" spans="1:17" s="49" customFormat="1" ht="24">
      <c r="A54" s="348">
        <f>A53+1</f>
        <v>34</v>
      </c>
      <c r="B54" s="348" t="s">
        <v>149</v>
      </c>
      <c r="C54" s="423" t="s">
        <v>322</v>
      </c>
      <c r="D54" s="424" t="s">
        <v>82</v>
      </c>
      <c r="E54" s="354">
        <f>22.6</f>
        <v>22.6</v>
      </c>
      <c r="F54" s="212"/>
      <c r="G54" s="212"/>
      <c r="H54" s="213"/>
      <c r="I54" s="213"/>
      <c r="J54" s="213"/>
      <c r="K54" s="213"/>
      <c r="L54" s="212"/>
      <c r="M54" s="214"/>
      <c r="N54" s="214"/>
      <c r="O54" s="214"/>
      <c r="P54" s="214"/>
      <c r="Q54" s="193"/>
    </row>
    <row r="55" spans="1:17" s="49" customFormat="1">
      <c r="A55" s="348">
        <f>A54+1</f>
        <v>35</v>
      </c>
      <c r="B55" s="348" t="s">
        <v>149</v>
      </c>
      <c r="C55" s="423" t="s">
        <v>328</v>
      </c>
      <c r="D55" s="424" t="s">
        <v>77</v>
      </c>
      <c r="E55" s="354">
        <f>13.7</f>
        <v>13.7</v>
      </c>
      <c r="F55" s="212"/>
      <c r="G55" s="212"/>
      <c r="H55" s="213"/>
      <c r="I55" s="213"/>
      <c r="J55" s="213"/>
      <c r="K55" s="213"/>
      <c r="L55" s="212"/>
      <c r="M55" s="214"/>
      <c r="N55" s="214"/>
      <c r="O55" s="214"/>
      <c r="P55" s="214"/>
      <c r="Q55" s="193"/>
    </row>
    <row r="56" spans="1:17" s="49" customFormat="1">
      <c r="A56" s="380">
        <f>A55+1</f>
        <v>36</v>
      </c>
      <c r="B56" s="380" t="s">
        <v>149</v>
      </c>
      <c r="C56" s="381" t="s">
        <v>329</v>
      </c>
      <c r="D56" s="382" t="s">
        <v>77</v>
      </c>
      <c r="E56" s="441">
        <f>13.7</f>
        <v>13.7</v>
      </c>
      <c r="F56" s="230"/>
      <c r="G56" s="230"/>
      <c r="H56" s="231"/>
      <c r="I56" s="231"/>
      <c r="J56" s="231"/>
      <c r="K56" s="231"/>
      <c r="L56" s="230"/>
      <c r="M56" s="232"/>
      <c r="N56" s="232"/>
      <c r="O56" s="232"/>
      <c r="P56" s="232"/>
      <c r="Q56" s="193"/>
    </row>
    <row r="57" spans="1:17" s="49" customFormat="1">
      <c r="A57" s="370"/>
      <c r="B57" s="370"/>
      <c r="C57" s="371" t="s">
        <v>334</v>
      </c>
      <c r="D57" s="431"/>
      <c r="E57" s="439"/>
      <c r="F57" s="118"/>
      <c r="G57" s="118"/>
      <c r="H57" s="119"/>
      <c r="I57" s="119"/>
      <c r="J57" s="119"/>
      <c r="K57" s="119"/>
      <c r="L57" s="118"/>
      <c r="M57" s="120"/>
      <c r="N57" s="120"/>
      <c r="O57" s="120"/>
      <c r="P57" s="120"/>
      <c r="Q57" s="193"/>
    </row>
    <row r="58" spans="1:17" s="49" customFormat="1" ht="24">
      <c r="A58" s="385">
        <v>37</v>
      </c>
      <c r="B58" s="385" t="s">
        <v>149</v>
      </c>
      <c r="C58" s="386" t="s">
        <v>335</v>
      </c>
      <c r="D58" s="432" t="s">
        <v>77</v>
      </c>
      <c r="E58" s="433">
        <f>167.5</f>
        <v>167.5</v>
      </c>
      <c r="F58" s="233"/>
      <c r="G58" s="233"/>
      <c r="H58" s="234"/>
      <c r="I58" s="234"/>
      <c r="J58" s="234"/>
      <c r="K58" s="234"/>
      <c r="L58" s="233"/>
      <c r="M58" s="235"/>
      <c r="N58" s="235"/>
      <c r="O58" s="235"/>
      <c r="P58" s="235"/>
      <c r="Q58" s="193"/>
    </row>
    <row r="59" spans="1:17" s="49" customFormat="1" ht="24">
      <c r="A59" s="348">
        <f>A58+1</f>
        <v>38</v>
      </c>
      <c r="B59" s="348" t="s">
        <v>149</v>
      </c>
      <c r="C59" s="377" t="s">
        <v>336</v>
      </c>
      <c r="D59" s="434" t="s">
        <v>77</v>
      </c>
      <c r="E59" s="354">
        <f>114.9</f>
        <v>114.9</v>
      </c>
      <c r="F59" s="212"/>
      <c r="G59" s="212"/>
      <c r="H59" s="213"/>
      <c r="I59" s="213"/>
      <c r="J59" s="213"/>
      <c r="K59" s="213"/>
      <c r="L59" s="212"/>
      <c r="M59" s="214"/>
      <c r="N59" s="214"/>
      <c r="O59" s="214"/>
      <c r="P59" s="214"/>
      <c r="Q59" s="193"/>
    </row>
    <row r="60" spans="1:17" s="49" customFormat="1">
      <c r="A60" s="348">
        <f>A59+1</f>
        <v>39</v>
      </c>
      <c r="B60" s="348" t="s">
        <v>149</v>
      </c>
      <c r="C60" s="377" t="s">
        <v>337</v>
      </c>
      <c r="D60" s="434" t="s">
        <v>77</v>
      </c>
      <c r="E60" s="354">
        <f>181.2</f>
        <v>181.2</v>
      </c>
      <c r="F60" s="212"/>
      <c r="G60" s="212"/>
      <c r="H60" s="213"/>
      <c r="I60" s="213"/>
      <c r="J60" s="213"/>
      <c r="K60" s="213"/>
      <c r="L60" s="212"/>
      <c r="M60" s="214"/>
      <c r="N60" s="214"/>
      <c r="O60" s="214"/>
      <c r="P60" s="214"/>
      <c r="Q60" s="193"/>
    </row>
    <row r="61" spans="1:17" s="49" customFormat="1">
      <c r="A61" s="348">
        <f>A60+1</f>
        <v>40</v>
      </c>
      <c r="B61" s="348" t="s">
        <v>149</v>
      </c>
      <c r="C61" s="377" t="s">
        <v>338</v>
      </c>
      <c r="D61" s="434" t="s">
        <v>77</v>
      </c>
      <c r="E61" s="354">
        <f>103.4</f>
        <v>103.4</v>
      </c>
      <c r="F61" s="212"/>
      <c r="G61" s="212"/>
      <c r="H61" s="213"/>
      <c r="I61" s="213"/>
      <c r="J61" s="213"/>
      <c r="K61" s="213"/>
      <c r="L61" s="212"/>
      <c r="M61" s="214"/>
      <c r="N61" s="214"/>
      <c r="O61" s="214"/>
      <c r="P61" s="214"/>
      <c r="Q61" s="193"/>
    </row>
    <row r="62" spans="1:17" s="49" customFormat="1">
      <c r="A62" s="348">
        <f>A60+1</f>
        <v>40</v>
      </c>
      <c r="B62" s="348" t="s">
        <v>149</v>
      </c>
      <c r="C62" s="377" t="s">
        <v>339</v>
      </c>
      <c r="D62" s="434" t="s">
        <v>80</v>
      </c>
      <c r="E62" s="354">
        <v>3</v>
      </c>
      <c r="F62" s="212"/>
      <c r="G62" s="212"/>
      <c r="H62" s="213"/>
      <c r="I62" s="213"/>
      <c r="J62" s="213"/>
      <c r="K62" s="213"/>
      <c r="L62" s="212"/>
      <c r="M62" s="214"/>
      <c r="N62" s="214"/>
      <c r="O62" s="214"/>
      <c r="P62" s="214"/>
      <c r="Q62" s="193"/>
    </row>
    <row r="63" spans="1:17" s="49" customFormat="1">
      <c r="A63" s="348">
        <f>A62+1</f>
        <v>41</v>
      </c>
      <c r="B63" s="348" t="s">
        <v>149</v>
      </c>
      <c r="C63" s="377" t="s">
        <v>340</v>
      </c>
      <c r="D63" s="434" t="s">
        <v>80</v>
      </c>
      <c r="E63" s="354">
        <v>1</v>
      </c>
      <c r="F63" s="212"/>
      <c r="G63" s="212"/>
      <c r="H63" s="213"/>
      <c r="I63" s="213"/>
      <c r="J63" s="213"/>
      <c r="K63" s="213"/>
      <c r="L63" s="212"/>
      <c r="M63" s="214"/>
      <c r="N63" s="214"/>
      <c r="O63" s="214"/>
      <c r="P63" s="214"/>
      <c r="Q63" s="193"/>
    </row>
    <row r="64" spans="1:17" s="49" customFormat="1">
      <c r="A64" s="348">
        <f>A63+1</f>
        <v>42</v>
      </c>
      <c r="B64" s="348" t="s">
        <v>149</v>
      </c>
      <c r="C64" s="377" t="s">
        <v>341</v>
      </c>
      <c r="D64" s="434" t="s">
        <v>77</v>
      </c>
      <c r="E64" s="354">
        <f>208.21</f>
        <v>208.21</v>
      </c>
      <c r="F64" s="212"/>
      <c r="G64" s="212"/>
      <c r="H64" s="213"/>
      <c r="I64" s="213"/>
      <c r="J64" s="213"/>
      <c r="K64" s="213"/>
      <c r="L64" s="212"/>
      <c r="M64" s="214"/>
      <c r="N64" s="214"/>
      <c r="O64" s="214"/>
      <c r="P64" s="214"/>
      <c r="Q64" s="193"/>
    </row>
    <row r="65" spans="1:17" s="49" customFormat="1">
      <c r="A65" s="366">
        <f>A61+1</f>
        <v>41</v>
      </c>
      <c r="B65" s="366" t="s">
        <v>149</v>
      </c>
      <c r="C65" s="436" t="s">
        <v>342</v>
      </c>
      <c r="D65" s="437" t="s">
        <v>82</v>
      </c>
      <c r="E65" s="438">
        <f>13.3</f>
        <v>13.3</v>
      </c>
      <c r="F65" s="233"/>
      <c r="G65" s="233"/>
      <c r="H65" s="234"/>
      <c r="I65" s="234"/>
      <c r="J65" s="234"/>
      <c r="K65" s="234"/>
      <c r="L65" s="233"/>
      <c r="M65" s="235"/>
      <c r="N65" s="235"/>
      <c r="O65" s="235"/>
      <c r="P65" s="235"/>
      <c r="Q65" s="193"/>
    </row>
    <row r="66" spans="1:17">
      <c r="A66" s="890" t="s">
        <v>177</v>
      </c>
      <c r="B66" s="890"/>
      <c r="C66" s="890"/>
      <c r="D66" s="890"/>
      <c r="E66" s="890"/>
      <c r="F66" s="890"/>
      <c r="G66" s="890"/>
      <c r="H66" s="890"/>
      <c r="I66" s="890"/>
      <c r="J66" s="890"/>
      <c r="K66" s="890"/>
      <c r="L66" s="131">
        <f>SUM(L15:L65)</f>
        <v>0</v>
      </c>
      <c r="M66" s="131">
        <f t="shared" ref="M66:P66" si="1">SUM(M15:M65)</f>
        <v>0</v>
      </c>
      <c r="N66" s="131">
        <f t="shared" si="1"/>
        <v>0</v>
      </c>
      <c r="O66" s="131">
        <f t="shared" si="1"/>
        <v>0</v>
      </c>
      <c r="P66" s="131">
        <f t="shared" si="1"/>
        <v>0</v>
      </c>
    </row>
    <row r="67" spans="1:17" s="9" customFormat="1" collapsed="1">
      <c r="A67" s="885" t="s">
        <v>36</v>
      </c>
      <c r="B67" s="885"/>
      <c r="C67" s="1"/>
      <c r="D67" s="1"/>
      <c r="E67" s="98"/>
      <c r="F67" s="1"/>
      <c r="G67" s="1"/>
      <c r="H67" s="1"/>
      <c r="I67" s="1"/>
      <c r="J67" s="1"/>
      <c r="K67" s="1"/>
      <c r="L67" s="1"/>
      <c r="M67" s="1"/>
      <c r="N67" s="1"/>
      <c r="O67" s="1"/>
      <c r="P67" s="1"/>
      <c r="Q67" s="190"/>
    </row>
    <row r="68" spans="1:17" s="1" customFormat="1" ht="12.75" customHeight="1">
      <c r="A68" s="886" t="s">
        <v>56</v>
      </c>
      <c r="B68" s="886"/>
      <c r="C68" s="886"/>
      <c r="D68" s="886"/>
      <c r="E68" s="886"/>
      <c r="F68" s="886"/>
      <c r="G68" s="886"/>
      <c r="H68" s="886"/>
      <c r="I68" s="886"/>
      <c r="J68" s="886"/>
      <c r="K68" s="886"/>
      <c r="L68" s="886"/>
      <c r="M68" s="886"/>
      <c r="N68" s="886"/>
      <c r="O68" s="886"/>
      <c r="P68" s="886"/>
      <c r="Q68" s="187"/>
    </row>
    <row r="69" spans="1:17" s="1" customFormat="1" ht="12.75" customHeight="1">
      <c r="A69" s="903"/>
      <c r="B69" s="903"/>
      <c r="C69" s="9"/>
      <c r="D69" s="9"/>
      <c r="E69" s="111"/>
      <c r="F69" s="9"/>
      <c r="G69" s="9"/>
      <c r="H69" s="9"/>
      <c r="I69" s="9"/>
      <c r="J69" s="9"/>
      <c r="K69" s="9"/>
      <c r="L69" s="50">
        <f>Koptame!A92</f>
        <v>0</v>
      </c>
      <c r="M69" s="50"/>
      <c r="N69" s="50"/>
      <c r="O69" s="50"/>
      <c r="P69" s="50"/>
      <c r="Q69" s="187"/>
    </row>
    <row r="70" spans="1:17" s="1" customFormat="1" ht="12.75" customHeight="1">
      <c r="A70" s="902" t="s">
        <v>7</v>
      </c>
      <c r="B70" s="902"/>
      <c r="C70" s="307"/>
      <c r="D70" s="9"/>
      <c r="E70" s="111"/>
      <c r="F70" s="9"/>
      <c r="G70" s="9"/>
      <c r="H70" s="9"/>
      <c r="I70" s="9"/>
      <c r="J70" s="9"/>
      <c r="K70" s="9"/>
      <c r="L70" s="307"/>
      <c r="M70" s="887">
        <f>Koptame!B93</f>
        <v>0</v>
      </c>
      <c r="N70" s="887"/>
      <c r="O70" s="50"/>
      <c r="P70" s="50"/>
      <c r="Q70" s="187"/>
    </row>
    <row r="71" spans="1:17" s="1" customFormat="1" ht="12.75" customHeight="1">
      <c r="A71" s="77"/>
      <c r="B71" s="78"/>
      <c r="E71" s="98"/>
      <c r="Q71" s="187"/>
    </row>
    <row r="72" spans="1:17" s="9" customFormat="1">
      <c r="A72" s="313"/>
      <c r="B72" s="313"/>
      <c r="E72" s="111"/>
      <c r="Q72" s="190"/>
    </row>
    <row r="73" spans="1:17" s="9" customFormat="1">
      <c r="A73" s="313"/>
      <c r="B73" s="313"/>
      <c r="C73" s="307"/>
      <c r="E73" s="111"/>
      <c r="L73" s="307"/>
      <c r="M73" s="887"/>
      <c r="N73" s="887"/>
      <c r="Q73" s="190"/>
    </row>
    <row r="74" spans="1:17" s="9" customFormat="1">
      <c r="A74" s="313"/>
      <c r="B74" s="313"/>
      <c r="C74" s="305"/>
      <c r="E74" s="111"/>
      <c r="L74" s="305"/>
      <c r="M74" s="878"/>
      <c r="N74" s="878"/>
      <c r="Q74" s="190"/>
    </row>
    <row r="75" spans="1:17" s="9" customFormat="1" collapsed="1">
      <c r="A75" s="313"/>
      <c r="B75" s="79"/>
      <c r="E75" s="111"/>
      <c r="F75" s="51"/>
      <c r="G75" s="51"/>
      <c r="Q75" s="190"/>
    </row>
  </sheetData>
  <mergeCells count="27">
    <mergeCell ref="A69:B69"/>
    <mergeCell ref="A70:B70"/>
    <mergeCell ref="M70:N70"/>
    <mergeCell ref="M73:N73"/>
    <mergeCell ref="M74:N74"/>
    <mergeCell ref="A68:P68"/>
    <mergeCell ref="A10:A11"/>
    <mergeCell ref="B10:B11"/>
    <mergeCell ref="C10:C11"/>
    <mergeCell ref="D10:D11"/>
    <mergeCell ref="E10:E11"/>
    <mergeCell ref="F10:K10"/>
    <mergeCell ref="L10:P10"/>
    <mergeCell ref="A66:K66"/>
    <mergeCell ref="A67:B67"/>
    <mergeCell ref="A5:B5"/>
    <mergeCell ref="C5:P5"/>
    <mergeCell ref="A6:B6"/>
    <mergeCell ref="C6:P6"/>
    <mergeCell ref="A7:B7"/>
    <mergeCell ref="C7:P7"/>
    <mergeCell ref="A1:P1"/>
    <mergeCell ref="A2:P2"/>
    <mergeCell ref="A3:B3"/>
    <mergeCell ref="C3:P3"/>
    <mergeCell ref="A4:B4"/>
    <mergeCell ref="C4:P4"/>
  </mergeCells>
  <conditionalFormatting sqref="C21">
    <cfRule type="expression" priority="1" stopIfTrue="1">
      <formula>#REF!</formula>
    </cfRule>
  </conditionalFormatting>
  <conditionalFormatting sqref="C20:C21">
    <cfRule type="expression" priority="2" stopIfTrue="1">
      <formula>#REF!</formula>
    </cfRule>
  </conditionalFormatting>
  <conditionalFormatting sqref="C19 C24 C26">
    <cfRule type="expression" priority="66" stopIfTrue="1">
      <formula>#REF!</formula>
    </cfRule>
  </conditionalFormatting>
  <conditionalFormatting sqref="C19 C24 C26">
    <cfRule type="expression" priority="65" stopIfTrue="1">
      <formula>#REF!</formula>
    </cfRule>
  </conditionalFormatting>
  <conditionalFormatting sqref="C57">
    <cfRule type="expression" priority="64" stopIfTrue="1">
      <formula>#REF!</formula>
    </cfRule>
  </conditionalFormatting>
  <conditionalFormatting sqref="C57">
    <cfRule type="expression" priority="63" stopIfTrue="1">
      <formula>#REF!</formula>
    </cfRule>
  </conditionalFormatting>
  <conditionalFormatting sqref="C58">
    <cfRule type="expression" priority="62" stopIfTrue="1">
      <formula>#REF!</formula>
    </cfRule>
  </conditionalFormatting>
  <conditionalFormatting sqref="C58">
    <cfRule type="expression" priority="61" stopIfTrue="1">
      <formula>#REF!</formula>
    </cfRule>
  </conditionalFormatting>
  <conditionalFormatting sqref="C60">
    <cfRule type="expression" priority="60" stopIfTrue="1">
      <formula>#REF!</formula>
    </cfRule>
  </conditionalFormatting>
  <conditionalFormatting sqref="C60">
    <cfRule type="expression" priority="59" stopIfTrue="1">
      <formula>#REF!</formula>
    </cfRule>
  </conditionalFormatting>
  <conditionalFormatting sqref="C65">
    <cfRule type="expression" priority="58" stopIfTrue="1">
      <formula>#REF!</formula>
    </cfRule>
  </conditionalFormatting>
  <conditionalFormatting sqref="C65">
    <cfRule type="expression" priority="57" stopIfTrue="1">
      <formula>#REF!</formula>
    </cfRule>
  </conditionalFormatting>
  <conditionalFormatting sqref="C61">
    <cfRule type="expression" priority="56" stopIfTrue="1">
      <formula>#REF!</formula>
    </cfRule>
  </conditionalFormatting>
  <conditionalFormatting sqref="C61">
    <cfRule type="expression" priority="55" stopIfTrue="1">
      <formula>#REF!</formula>
    </cfRule>
  </conditionalFormatting>
  <conditionalFormatting sqref="C14 C16:C17">
    <cfRule type="expression" priority="54" stopIfTrue="1">
      <formula>#REF!</formula>
    </cfRule>
  </conditionalFormatting>
  <conditionalFormatting sqref="C14 C16:C17">
    <cfRule type="expression" priority="53" stopIfTrue="1">
      <formula>#REF!</formula>
    </cfRule>
  </conditionalFormatting>
  <conditionalFormatting sqref="C13">
    <cfRule type="expression" priority="52" stopIfTrue="1">
      <formula>#REF!</formula>
    </cfRule>
  </conditionalFormatting>
  <conditionalFormatting sqref="C13">
    <cfRule type="expression" priority="51" stopIfTrue="1">
      <formula>#REF!</formula>
    </cfRule>
  </conditionalFormatting>
  <conditionalFormatting sqref="C59">
    <cfRule type="expression" priority="50" stopIfTrue="1">
      <formula>#REF!</formula>
    </cfRule>
  </conditionalFormatting>
  <conditionalFormatting sqref="C59">
    <cfRule type="expression" priority="49" stopIfTrue="1">
      <formula>#REF!</formula>
    </cfRule>
  </conditionalFormatting>
  <conditionalFormatting sqref="C18">
    <cfRule type="expression" priority="48" stopIfTrue="1">
      <formula>#REF!</formula>
    </cfRule>
  </conditionalFormatting>
  <conditionalFormatting sqref="C18">
    <cfRule type="expression" priority="47" stopIfTrue="1">
      <formula>#REF!</formula>
    </cfRule>
  </conditionalFormatting>
  <conditionalFormatting sqref="C15">
    <cfRule type="expression" priority="46" stopIfTrue="1">
      <formula>#REF!</formula>
    </cfRule>
  </conditionalFormatting>
  <conditionalFormatting sqref="C15">
    <cfRule type="expression" priority="45" stopIfTrue="1">
      <formula>#REF!</formula>
    </cfRule>
  </conditionalFormatting>
  <conditionalFormatting sqref="C22">
    <cfRule type="expression" priority="44" stopIfTrue="1">
      <formula>#REF!</formula>
    </cfRule>
  </conditionalFormatting>
  <conditionalFormatting sqref="C22">
    <cfRule type="expression" priority="43" stopIfTrue="1">
      <formula>#REF!</formula>
    </cfRule>
  </conditionalFormatting>
  <conditionalFormatting sqref="C23">
    <cfRule type="expression" priority="42" stopIfTrue="1">
      <formula>#REF!</formula>
    </cfRule>
  </conditionalFormatting>
  <conditionalFormatting sqref="C23">
    <cfRule type="expression" priority="41" stopIfTrue="1">
      <formula>#REF!</formula>
    </cfRule>
  </conditionalFormatting>
  <conditionalFormatting sqref="C25">
    <cfRule type="expression" priority="40" stopIfTrue="1">
      <formula>#REF!</formula>
    </cfRule>
  </conditionalFormatting>
  <conditionalFormatting sqref="C25">
    <cfRule type="expression" priority="39" stopIfTrue="1">
      <formula>#REF!</formula>
    </cfRule>
  </conditionalFormatting>
  <conditionalFormatting sqref="C31">
    <cfRule type="expression" priority="38" stopIfTrue="1">
      <formula>#REF!</formula>
    </cfRule>
  </conditionalFormatting>
  <conditionalFormatting sqref="C31">
    <cfRule type="expression" priority="37" stopIfTrue="1">
      <formula>#REF!</formula>
    </cfRule>
  </conditionalFormatting>
  <conditionalFormatting sqref="C27:C29">
    <cfRule type="expression" priority="36" stopIfTrue="1">
      <formula>#REF!</formula>
    </cfRule>
  </conditionalFormatting>
  <conditionalFormatting sqref="C27:C29">
    <cfRule type="expression" priority="35" stopIfTrue="1">
      <formula>#REF!</formula>
    </cfRule>
  </conditionalFormatting>
  <conditionalFormatting sqref="C30">
    <cfRule type="expression" priority="34" stopIfTrue="1">
      <formula>#REF!</formula>
    </cfRule>
  </conditionalFormatting>
  <conditionalFormatting sqref="C30">
    <cfRule type="expression" priority="33" stopIfTrue="1">
      <formula>#REF!</formula>
    </cfRule>
  </conditionalFormatting>
  <conditionalFormatting sqref="C37">
    <cfRule type="expression" priority="32" stopIfTrue="1">
      <formula>#REF!</formula>
    </cfRule>
  </conditionalFormatting>
  <conditionalFormatting sqref="C37">
    <cfRule type="expression" priority="31" stopIfTrue="1">
      <formula>#REF!</formula>
    </cfRule>
  </conditionalFormatting>
  <conditionalFormatting sqref="C41">
    <cfRule type="expression" priority="24" stopIfTrue="1">
      <formula>#REF!</formula>
    </cfRule>
  </conditionalFormatting>
  <conditionalFormatting sqref="C41">
    <cfRule type="expression" priority="23" stopIfTrue="1">
      <formula>#REF!</formula>
    </cfRule>
  </conditionalFormatting>
  <conditionalFormatting sqref="C36">
    <cfRule type="expression" priority="30" stopIfTrue="1">
      <formula>#REF!</formula>
    </cfRule>
  </conditionalFormatting>
  <conditionalFormatting sqref="C36">
    <cfRule type="expression" priority="29" stopIfTrue="1">
      <formula>#REF!</formula>
    </cfRule>
  </conditionalFormatting>
  <conditionalFormatting sqref="C42">
    <cfRule type="expression" priority="26" stopIfTrue="1">
      <formula>#REF!</formula>
    </cfRule>
  </conditionalFormatting>
  <conditionalFormatting sqref="C42">
    <cfRule type="expression" priority="25" stopIfTrue="1">
      <formula>#REF!</formula>
    </cfRule>
  </conditionalFormatting>
  <conditionalFormatting sqref="C48">
    <cfRule type="expression" priority="18" stopIfTrue="1">
      <formula>#REF!</formula>
    </cfRule>
  </conditionalFormatting>
  <conditionalFormatting sqref="C48">
    <cfRule type="expression" priority="17" stopIfTrue="1">
      <formula>#REF!</formula>
    </cfRule>
  </conditionalFormatting>
  <conditionalFormatting sqref="C40">
    <cfRule type="expression" priority="22" stopIfTrue="1">
      <formula>#REF!</formula>
    </cfRule>
  </conditionalFormatting>
  <conditionalFormatting sqref="C40">
    <cfRule type="expression" priority="21" stopIfTrue="1">
      <formula>#REF!</formula>
    </cfRule>
  </conditionalFormatting>
  <conditionalFormatting sqref="C55">
    <cfRule type="expression" priority="12" stopIfTrue="1">
      <formula>#REF!</formula>
    </cfRule>
  </conditionalFormatting>
  <conditionalFormatting sqref="C55">
    <cfRule type="expression" priority="11" stopIfTrue="1">
      <formula>#REF!</formula>
    </cfRule>
  </conditionalFormatting>
  <conditionalFormatting sqref="C47">
    <cfRule type="expression" priority="16" stopIfTrue="1">
      <formula>#REF!</formula>
    </cfRule>
  </conditionalFormatting>
  <conditionalFormatting sqref="C47">
    <cfRule type="expression" priority="15" stopIfTrue="1">
      <formula>#REF!</formula>
    </cfRule>
  </conditionalFormatting>
  <conditionalFormatting sqref="C54">
    <cfRule type="expression" priority="10" stopIfTrue="1">
      <formula>#REF!</formula>
    </cfRule>
  </conditionalFormatting>
  <conditionalFormatting sqref="C54">
    <cfRule type="expression" priority="9" stopIfTrue="1">
      <formula>#REF!</formula>
    </cfRule>
  </conditionalFormatting>
  <conditionalFormatting sqref="C62">
    <cfRule type="expression" priority="8" stopIfTrue="1">
      <formula>#REF!</formula>
    </cfRule>
  </conditionalFormatting>
  <conditionalFormatting sqref="C62">
    <cfRule type="expression" priority="7" stopIfTrue="1">
      <formula>#REF!</formula>
    </cfRule>
  </conditionalFormatting>
  <conditionalFormatting sqref="C63">
    <cfRule type="expression" priority="6" stopIfTrue="1">
      <formula>#REF!</formula>
    </cfRule>
  </conditionalFormatting>
  <conditionalFormatting sqref="C63">
    <cfRule type="expression" priority="5" stopIfTrue="1">
      <formula>#REF!</formula>
    </cfRule>
  </conditionalFormatting>
  <conditionalFormatting sqref="C64">
    <cfRule type="expression" priority="4" stopIfTrue="1">
      <formula>#REF!</formula>
    </cfRule>
  </conditionalFormatting>
  <conditionalFormatting sqref="C64">
    <cfRule type="expression" priority="3" stopIfTrue="1">
      <formula>#REF!</formula>
    </cfRule>
  </conditionalFormatting>
  <conditionalFormatting sqref="C20">
    <cfRule type="expression" priority="67"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Q91"/>
  <sheetViews>
    <sheetView showZeros="0" zoomScale="75" zoomScaleNormal="75" zoomScaleSheetLayoutView="80" workbookViewId="0">
      <selection sqref="A1:P1"/>
    </sheetView>
  </sheetViews>
  <sheetFormatPr defaultColWidth="9.140625" defaultRowHeight="15"/>
  <cols>
    <col min="1" max="1" width="8.85546875" style="46" customWidth="1"/>
    <col min="2" max="2" width="11.7109375" style="46" customWidth="1"/>
    <col min="3" max="3" width="45.7109375" style="46" customWidth="1"/>
    <col min="4" max="11" width="8.7109375" style="46" customWidth="1"/>
    <col min="12" max="16" width="12.7109375" style="46" customWidth="1"/>
    <col min="17" max="17" width="9.140625" style="189"/>
    <col min="18" max="16384" width="9.140625" style="46"/>
  </cols>
  <sheetData>
    <row r="1" spans="1:17" s="45" customFormat="1" ht="15.75">
      <c r="A1" s="875" t="s">
        <v>59</v>
      </c>
      <c r="B1" s="875"/>
      <c r="C1" s="875"/>
      <c r="D1" s="875"/>
      <c r="E1" s="875"/>
      <c r="F1" s="875"/>
      <c r="G1" s="875"/>
      <c r="H1" s="875"/>
      <c r="I1" s="875"/>
      <c r="J1" s="875"/>
      <c r="K1" s="875"/>
      <c r="L1" s="875"/>
      <c r="M1" s="875"/>
      <c r="N1" s="875"/>
      <c r="O1" s="875"/>
      <c r="P1" s="875"/>
      <c r="Q1" s="188"/>
    </row>
    <row r="2" spans="1:17" s="45" customFormat="1" ht="15.75">
      <c r="A2" s="899" t="s">
        <v>133</v>
      </c>
      <c r="B2" s="899"/>
      <c r="C2" s="899"/>
      <c r="D2" s="899"/>
      <c r="E2" s="899"/>
      <c r="F2" s="899"/>
      <c r="G2" s="899"/>
      <c r="H2" s="899"/>
      <c r="I2" s="899"/>
      <c r="J2" s="899"/>
      <c r="K2" s="899"/>
      <c r="L2" s="899"/>
      <c r="M2" s="899"/>
      <c r="N2" s="899"/>
      <c r="O2" s="899"/>
      <c r="P2" s="899"/>
      <c r="Q2" s="188"/>
    </row>
    <row r="3" spans="1:17" s="45" customFormat="1" ht="15.6" customHeight="1">
      <c r="A3" s="876" t="s">
        <v>10</v>
      </c>
      <c r="B3" s="876"/>
      <c r="C3" s="859" t="s">
        <v>117</v>
      </c>
      <c r="D3" s="859"/>
      <c r="E3" s="859"/>
      <c r="F3" s="859"/>
      <c r="G3" s="859"/>
      <c r="H3" s="859"/>
      <c r="I3" s="859"/>
      <c r="J3" s="859"/>
      <c r="K3" s="859"/>
      <c r="L3" s="859"/>
      <c r="M3" s="859"/>
      <c r="N3" s="859"/>
      <c r="O3" s="859"/>
      <c r="P3" s="859"/>
      <c r="Q3" s="188"/>
    </row>
    <row r="4" spans="1:17" s="45" customFormat="1" ht="15.6" customHeight="1">
      <c r="A4" s="876" t="s">
        <v>11</v>
      </c>
      <c r="B4" s="876"/>
      <c r="C4" s="859" t="s">
        <v>118</v>
      </c>
      <c r="D4" s="859"/>
      <c r="E4" s="859"/>
      <c r="F4" s="859"/>
      <c r="G4" s="859"/>
      <c r="H4" s="859"/>
      <c r="I4" s="859"/>
      <c r="J4" s="859"/>
      <c r="K4" s="859"/>
      <c r="L4" s="859"/>
      <c r="M4" s="859"/>
      <c r="N4" s="859"/>
      <c r="O4" s="859"/>
      <c r="P4" s="859"/>
      <c r="Q4" s="188"/>
    </row>
    <row r="5" spans="1:17" s="45" customFormat="1" ht="15.75">
      <c r="A5" s="876" t="s">
        <v>12</v>
      </c>
      <c r="B5" s="876"/>
      <c r="C5" s="859" t="s">
        <v>50</v>
      </c>
      <c r="D5" s="859"/>
      <c r="E5" s="859"/>
      <c r="F5" s="859"/>
      <c r="G5" s="859"/>
      <c r="H5" s="859"/>
      <c r="I5" s="859"/>
      <c r="J5" s="859"/>
      <c r="K5" s="859"/>
      <c r="L5" s="859"/>
      <c r="M5" s="859"/>
      <c r="N5" s="859"/>
      <c r="O5" s="859"/>
      <c r="P5" s="859"/>
      <c r="Q5" s="188"/>
    </row>
    <row r="6" spans="1:17" s="45" customFormat="1" ht="15.75">
      <c r="A6" s="876" t="s">
        <v>30</v>
      </c>
      <c r="B6" s="876"/>
      <c r="C6" s="874"/>
      <c r="D6" s="874"/>
      <c r="E6" s="874"/>
      <c r="F6" s="874"/>
      <c r="G6" s="874"/>
      <c r="H6" s="874"/>
      <c r="I6" s="874"/>
      <c r="J6" s="874"/>
      <c r="K6" s="874"/>
      <c r="L6" s="874"/>
      <c r="M6" s="874"/>
      <c r="N6" s="874"/>
      <c r="O6" s="874"/>
      <c r="P6" s="874"/>
      <c r="Q6" s="188"/>
    </row>
    <row r="7" spans="1:17" s="45" customFormat="1" ht="15.75">
      <c r="A7" s="876" t="s">
        <v>54</v>
      </c>
      <c r="B7" s="876"/>
      <c r="C7" s="873"/>
      <c r="D7" s="873"/>
      <c r="E7" s="873"/>
      <c r="F7" s="873"/>
      <c r="G7" s="873"/>
      <c r="H7" s="873"/>
      <c r="I7" s="873"/>
      <c r="J7" s="873"/>
      <c r="K7" s="873"/>
      <c r="L7" s="873"/>
      <c r="M7" s="873"/>
      <c r="N7" s="873"/>
      <c r="O7" s="873"/>
      <c r="P7" s="873"/>
      <c r="Q7" s="188"/>
    </row>
    <row r="8" spans="1:17" s="45" customFormat="1" ht="15.75">
      <c r="A8" s="73"/>
      <c r="B8" s="73"/>
      <c r="C8" s="73"/>
      <c r="D8" s="73"/>
      <c r="E8" s="73"/>
      <c r="F8" s="73"/>
      <c r="G8" s="73"/>
      <c r="H8" s="73"/>
      <c r="I8" s="73"/>
      <c r="J8" s="73"/>
      <c r="K8" s="73"/>
      <c r="L8" s="66"/>
      <c r="M8" s="66"/>
      <c r="N8" s="74"/>
      <c r="O8" s="63" t="s">
        <v>52</v>
      </c>
      <c r="P8" s="75">
        <f>P82</f>
        <v>0</v>
      </c>
      <c r="Q8" s="188"/>
    </row>
    <row r="10" spans="1:17" ht="14.25" customHeight="1">
      <c r="A10" s="879" t="s">
        <v>14</v>
      </c>
      <c r="B10" s="880" t="s">
        <v>21</v>
      </c>
      <c r="C10" s="882" t="s">
        <v>22</v>
      </c>
      <c r="D10" s="883" t="s">
        <v>23</v>
      </c>
      <c r="E10" s="879" t="s">
        <v>24</v>
      </c>
      <c r="F10" s="888" t="s">
        <v>25</v>
      </c>
      <c r="G10" s="888"/>
      <c r="H10" s="888"/>
      <c r="I10" s="888"/>
      <c r="J10" s="888"/>
      <c r="K10" s="888"/>
      <c r="L10" s="888" t="s">
        <v>26</v>
      </c>
      <c r="M10" s="888"/>
      <c r="N10" s="888"/>
      <c r="O10" s="888"/>
      <c r="P10" s="888"/>
    </row>
    <row r="11" spans="1:17" ht="73.5" customHeight="1">
      <c r="A11" s="879"/>
      <c r="B11" s="881"/>
      <c r="C11" s="882"/>
      <c r="D11" s="883"/>
      <c r="E11" s="879"/>
      <c r="F11" s="114" t="s">
        <v>27</v>
      </c>
      <c r="G11" s="114" t="s">
        <v>37</v>
      </c>
      <c r="H11" s="114" t="s">
        <v>38</v>
      </c>
      <c r="I11" s="114" t="s">
        <v>39</v>
      </c>
      <c r="J11" s="114" t="s">
        <v>40</v>
      </c>
      <c r="K11" s="114" t="s">
        <v>41</v>
      </c>
      <c r="L11" s="114" t="s">
        <v>18</v>
      </c>
      <c r="M11" s="114" t="s">
        <v>38</v>
      </c>
      <c r="N11" s="114" t="s">
        <v>39</v>
      </c>
      <c r="O11" s="114" t="s">
        <v>40</v>
      </c>
      <c r="P11" s="114" t="s">
        <v>42</v>
      </c>
    </row>
    <row r="12" spans="1:17">
      <c r="A12" s="115">
        <v>1</v>
      </c>
      <c r="B12" s="115">
        <v>2</v>
      </c>
      <c r="C12" s="115">
        <v>3</v>
      </c>
      <c r="D12" s="115">
        <v>4</v>
      </c>
      <c r="E12" s="115">
        <v>5</v>
      </c>
      <c r="F12" s="115">
        <v>6</v>
      </c>
      <c r="G12" s="115">
        <v>7</v>
      </c>
      <c r="H12" s="115">
        <v>8</v>
      </c>
      <c r="I12" s="115">
        <v>9</v>
      </c>
      <c r="J12" s="115">
        <v>10</v>
      </c>
      <c r="K12" s="115">
        <v>11</v>
      </c>
      <c r="L12" s="115">
        <v>12</v>
      </c>
      <c r="M12" s="115">
        <v>13</v>
      </c>
      <c r="N12" s="115">
        <v>14</v>
      </c>
      <c r="O12" s="115">
        <v>15</v>
      </c>
      <c r="P12" s="115">
        <v>16</v>
      </c>
    </row>
    <row r="13" spans="1:17" s="1" customFormat="1">
      <c r="A13" s="211"/>
      <c r="B13" s="211"/>
      <c r="C13" s="216" t="s">
        <v>343</v>
      </c>
      <c r="D13" s="215"/>
      <c r="E13" s="219"/>
      <c r="F13" s="135"/>
      <c r="G13" s="135"/>
      <c r="H13" s="135"/>
      <c r="I13" s="135"/>
      <c r="J13" s="135"/>
      <c r="K13" s="135"/>
      <c r="L13" s="135"/>
      <c r="M13" s="136"/>
      <c r="N13" s="136"/>
      <c r="O13" s="136"/>
      <c r="P13" s="136"/>
      <c r="Q13" s="187"/>
    </row>
    <row r="14" spans="1:17" s="1" customFormat="1">
      <c r="A14" s="246">
        <f>A13+1</f>
        <v>1</v>
      </c>
      <c r="B14" s="246" t="s">
        <v>149</v>
      </c>
      <c r="C14" s="247" t="s">
        <v>344</v>
      </c>
      <c r="D14" s="248" t="s">
        <v>82</v>
      </c>
      <c r="E14" s="249">
        <f>2200</f>
        <v>2200</v>
      </c>
      <c r="F14" s="153"/>
      <c r="G14" s="153"/>
      <c r="H14" s="153"/>
      <c r="I14" s="153"/>
      <c r="J14" s="153"/>
      <c r="K14" s="153"/>
      <c r="L14" s="153"/>
      <c r="M14" s="208"/>
      <c r="N14" s="208"/>
      <c r="O14" s="208"/>
      <c r="P14" s="208"/>
      <c r="Q14" s="187"/>
    </row>
    <row r="15" spans="1:17" s="1" customFormat="1">
      <c r="A15" s="226">
        <f>A14+1</f>
        <v>2</v>
      </c>
      <c r="B15" s="226" t="s">
        <v>149</v>
      </c>
      <c r="C15" s="242" t="s">
        <v>345</v>
      </c>
      <c r="D15" s="243" t="s">
        <v>82</v>
      </c>
      <c r="E15" s="244">
        <f>E14</f>
        <v>2200</v>
      </c>
      <c r="F15" s="145"/>
      <c r="G15" s="145"/>
      <c r="H15" s="145"/>
      <c r="I15" s="145"/>
      <c r="J15" s="145"/>
      <c r="K15" s="145"/>
      <c r="L15" s="145"/>
      <c r="M15" s="204"/>
      <c r="N15" s="204"/>
      <c r="O15" s="204"/>
      <c r="P15" s="204"/>
      <c r="Q15" s="187"/>
    </row>
    <row r="16" spans="1:17" s="1" customFormat="1">
      <c r="A16" s="228">
        <f>A15+1</f>
        <v>3</v>
      </c>
      <c r="B16" s="228" t="s">
        <v>149</v>
      </c>
      <c r="C16" s="250" t="s">
        <v>346</v>
      </c>
      <c r="D16" s="251" t="s">
        <v>82</v>
      </c>
      <c r="E16" s="252">
        <f>E14</f>
        <v>2200</v>
      </c>
      <c r="F16" s="150"/>
      <c r="G16" s="150"/>
      <c r="H16" s="150"/>
      <c r="I16" s="150"/>
      <c r="J16" s="150"/>
      <c r="K16" s="150"/>
      <c r="L16" s="150"/>
      <c r="M16" s="207"/>
      <c r="N16" s="207"/>
      <c r="O16" s="207"/>
      <c r="P16" s="207"/>
      <c r="Q16" s="187"/>
    </row>
    <row r="17" spans="1:17" s="1" customFormat="1">
      <c r="A17" s="211"/>
      <c r="B17" s="211"/>
      <c r="C17" s="217" t="s">
        <v>347</v>
      </c>
      <c r="D17" s="215"/>
      <c r="E17" s="219"/>
      <c r="F17" s="135"/>
      <c r="G17" s="135"/>
      <c r="H17" s="135"/>
      <c r="I17" s="135"/>
      <c r="J17" s="135"/>
      <c r="K17" s="135"/>
      <c r="L17" s="135"/>
      <c r="M17" s="136"/>
      <c r="N17" s="136"/>
      <c r="O17" s="136"/>
      <c r="P17" s="136"/>
      <c r="Q17" s="187"/>
    </row>
    <row r="18" spans="1:17" s="1" customFormat="1">
      <c r="A18" s="211"/>
      <c r="B18" s="211"/>
      <c r="C18" s="218" t="s">
        <v>348</v>
      </c>
      <c r="D18" s="215"/>
      <c r="E18" s="219"/>
      <c r="F18" s="135"/>
      <c r="G18" s="135"/>
      <c r="H18" s="135"/>
      <c r="I18" s="135"/>
      <c r="J18" s="135"/>
      <c r="K18" s="135"/>
      <c r="L18" s="135"/>
      <c r="M18" s="136"/>
      <c r="N18" s="136"/>
      <c r="O18" s="136"/>
      <c r="P18" s="136"/>
      <c r="Q18" s="187"/>
    </row>
    <row r="19" spans="1:17" s="1" customFormat="1" ht="24">
      <c r="A19" s="229">
        <f>A16+1</f>
        <v>4</v>
      </c>
      <c r="B19" s="229" t="s">
        <v>149</v>
      </c>
      <c r="C19" s="253" t="s">
        <v>349</v>
      </c>
      <c r="D19" s="239" t="s">
        <v>82</v>
      </c>
      <c r="E19" s="254">
        <f>76.02</f>
        <v>76.02</v>
      </c>
      <c r="F19" s="146"/>
      <c r="G19" s="146"/>
      <c r="H19" s="146"/>
      <c r="I19" s="146"/>
      <c r="J19" s="146"/>
      <c r="K19" s="146"/>
      <c r="L19" s="146"/>
      <c r="M19" s="205"/>
      <c r="N19" s="205"/>
      <c r="O19" s="205"/>
      <c r="P19" s="205"/>
      <c r="Q19" s="187"/>
    </row>
    <row r="20" spans="1:17" s="1" customFormat="1" ht="36">
      <c r="A20" s="226">
        <f>A19+1</f>
        <v>5</v>
      </c>
      <c r="B20" s="226" t="s">
        <v>149</v>
      </c>
      <c r="C20" s="242" t="s">
        <v>350</v>
      </c>
      <c r="D20" s="227" t="s">
        <v>82</v>
      </c>
      <c r="E20" s="245">
        <v>76.02</v>
      </c>
      <c r="F20" s="145"/>
      <c r="G20" s="145"/>
      <c r="H20" s="145"/>
      <c r="I20" s="145"/>
      <c r="J20" s="145"/>
      <c r="K20" s="145"/>
      <c r="L20" s="145"/>
      <c r="M20" s="204"/>
      <c r="N20" s="204"/>
      <c r="O20" s="204"/>
      <c r="P20" s="204"/>
      <c r="Q20" s="187"/>
    </row>
    <row r="21" spans="1:17" s="1" customFormat="1">
      <c r="A21" s="228">
        <f>A20+1</f>
        <v>6</v>
      </c>
      <c r="B21" s="228" t="s">
        <v>149</v>
      </c>
      <c r="C21" s="250" t="s">
        <v>351</v>
      </c>
      <c r="D21" s="255" t="s">
        <v>82</v>
      </c>
      <c r="E21" s="256">
        <f>E20</f>
        <v>76.02</v>
      </c>
      <c r="F21" s="150"/>
      <c r="G21" s="150"/>
      <c r="H21" s="150"/>
      <c r="I21" s="150"/>
      <c r="J21" s="150"/>
      <c r="K21" s="150"/>
      <c r="L21" s="150"/>
      <c r="M21" s="207"/>
      <c r="N21" s="207"/>
      <c r="O21" s="207"/>
      <c r="P21" s="207"/>
      <c r="Q21" s="187"/>
    </row>
    <row r="22" spans="1:17" s="1" customFormat="1">
      <c r="A22" s="211"/>
      <c r="B22" s="211"/>
      <c r="C22" s="218" t="s">
        <v>352</v>
      </c>
      <c r="D22" s="215"/>
      <c r="E22" s="219"/>
      <c r="F22" s="135"/>
      <c r="G22" s="135"/>
      <c r="H22" s="135"/>
      <c r="I22" s="135"/>
      <c r="J22" s="135"/>
      <c r="K22" s="135"/>
      <c r="L22" s="135"/>
      <c r="M22" s="136"/>
      <c r="N22" s="136"/>
      <c r="O22" s="136"/>
      <c r="P22" s="136"/>
      <c r="Q22" s="187"/>
    </row>
    <row r="23" spans="1:17" s="1" customFormat="1" ht="24">
      <c r="A23" s="229">
        <f>A21+1</f>
        <v>7</v>
      </c>
      <c r="B23" s="229" t="s">
        <v>149</v>
      </c>
      <c r="C23" s="253" t="s">
        <v>349</v>
      </c>
      <c r="D23" s="239" t="s">
        <v>82</v>
      </c>
      <c r="E23" s="254">
        <f>45.94</f>
        <v>45.94</v>
      </c>
      <c r="F23" s="146"/>
      <c r="G23" s="146"/>
      <c r="H23" s="146"/>
      <c r="I23" s="146"/>
      <c r="J23" s="146"/>
      <c r="K23" s="146"/>
      <c r="L23" s="146"/>
      <c r="M23" s="205"/>
      <c r="N23" s="205"/>
      <c r="O23" s="205"/>
      <c r="P23" s="205"/>
      <c r="Q23" s="187"/>
    </row>
    <row r="24" spans="1:17" s="1" customFormat="1" ht="36">
      <c r="A24" s="226">
        <f>A23+1</f>
        <v>8</v>
      </c>
      <c r="B24" s="226" t="s">
        <v>149</v>
      </c>
      <c r="C24" s="242" t="s">
        <v>353</v>
      </c>
      <c r="D24" s="227" t="s">
        <v>82</v>
      </c>
      <c r="E24" s="245">
        <f>E23</f>
        <v>45.94</v>
      </c>
      <c r="F24" s="145"/>
      <c r="G24" s="145"/>
      <c r="H24" s="145"/>
      <c r="I24" s="145"/>
      <c r="J24" s="145"/>
      <c r="K24" s="145"/>
      <c r="L24" s="145"/>
      <c r="M24" s="204"/>
      <c r="N24" s="204"/>
      <c r="O24" s="204"/>
      <c r="P24" s="204"/>
      <c r="Q24" s="187"/>
    </row>
    <row r="25" spans="1:17" s="1" customFormat="1">
      <c r="A25" s="228">
        <f>A24+1</f>
        <v>9</v>
      </c>
      <c r="B25" s="228" t="s">
        <v>149</v>
      </c>
      <c r="C25" s="250" t="s">
        <v>351</v>
      </c>
      <c r="D25" s="255" t="s">
        <v>82</v>
      </c>
      <c r="E25" s="256">
        <f>E24</f>
        <v>45.94</v>
      </c>
      <c r="F25" s="150"/>
      <c r="G25" s="150"/>
      <c r="H25" s="150"/>
      <c r="I25" s="150"/>
      <c r="J25" s="150"/>
      <c r="K25" s="150"/>
      <c r="L25" s="150"/>
      <c r="M25" s="207"/>
      <c r="N25" s="207"/>
      <c r="O25" s="207"/>
      <c r="P25" s="207"/>
      <c r="Q25" s="187"/>
    </row>
    <row r="26" spans="1:17" s="1" customFormat="1">
      <c r="A26" s="211"/>
      <c r="B26" s="211"/>
      <c r="C26" s="218" t="s">
        <v>354</v>
      </c>
      <c r="D26" s="215"/>
      <c r="E26" s="219"/>
      <c r="F26" s="135"/>
      <c r="G26" s="135"/>
      <c r="H26" s="135"/>
      <c r="I26" s="135"/>
      <c r="J26" s="135"/>
      <c r="K26" s="135"/>
      <c r="L26" s="135"/>
      <c r="M26" s="136"/>
      <c r="N26" s="136"/>
      <c r="O26" s="136"/>
      <c r="P26" s="136"/>
      <c r="Q26" s="187"/>
    </row>
    <row r="27" spans="1:17" s="1" customFormat="1">
      <c r="A27" s="229">
        <f>A25+1</f>
        <v>10</v>
      </c>
      <c r="B27" s="229" t="s">
        <v>149</v>
      </c>
      <c r="C27" s="253" t="s">
        <v>355</v>
      </c>
      <c r="D27" s="239" t="s">
        <v>82</v>
      </c>
      <c r="E27" s="254">
        <f>289.68</f>
        <v>289.68</v>
      </c>
      <c r="F27" s="146"/>
      <c r="G27" s="146"/>
      <c r="H27" s="146"/>
      <c r="I27" s="146"/>
      <c r="J27" s="146"/>
      <c r="K27" s="146"/>
      <c r="L27" s="146"/>
      <c r="M27" s="205"/>
      <c r="N27" s="205"/>
      <c r="O27" s="205"/>
      <c r="P27" s="205"/>
      <c r="Q27" s="187"/>
    </row>
    <row r="28" spans="1:17" s="1" customFormat="1" ht="36">
      <c r="A28" s="226">
        <v>11</v>
      </c>
      <c r="B28" s="226" t="s">
        <v>149</v>
      </c>
      <c r="C28" s="242" t="s">
        <v>350</v>
      </c>
      <c r="D28" s="227" t="s">
        <v>82</v>
      </c>
      <c r="E28" s="245">
        <v>289.68</v>
      </c>
      <c r="F28" s="145"/>
      <c r="G28" s="145"/>
      <c r="H28" s="145"/>
      <c r="I28" s="145"/>
      <c r="J28" s="145"/>
      <c r="K28" s="145"/>
      <c r="L28" s="145"/>
      <c r="M28" s="204"/>
      <c r="N28" s="204"/>
      <c r="O28" s="204"/>
      <c r="P28" s="204"/>
      <c r="Q28" s="187"/>
    </row>
    <row r="29" spans="1:17" s="1" customFormat="1">
      <c r="A29" s="228">
        <f>A28+1</f>
        <v>12</v>
      </c>
      <c r="B29" s="228" t="s">
        <v>149</v>
      </c>
      <c r="C29" s="250" t="s">
        <v>351</v>
      </c>
      <c r="D29" s="255" t="s">
        <v>82</v>
      </c>
      <c r="E29" s="256">
        <f>E28</f>
        <v>289.68</v>
      </c>
      <c r="F29" s="150"/>
      <c r="G29" s="150"/>
      <c r="H29" s="150"/>
      <c r="I29" s="150"/>
      <c r="J29" s="150"/>
      <c r="K29" s="150"/>
      <c r="L29" s="150"/>
      <c r="M29" s="207"/>
      <c r="N29" s="207"/>
      <c r="O29" s="207"/>
      <c r="P29" s="207"/>
      <c r="Q29" s="187"/>
    </row>
    <row r="30" spans="1:17" s="1" customFormat="1">
      <c r="A30" s="211"/>
      <c r="B30" s="211"/>
      <c r="C30" s="218" t="s">
        <v>356</v>
      </c>
      <c r="D30" s="215"/>
      <c r="E30" s="219"/>
      <c r="F30" s="135"/>
      <c r="G30" s="135"/>
      <c r="H30" s="135"/>
      <c r="I30" s="135"/>
      <c r="J30" s="135"/>
      <c r="K30" s="135"/>
      <c r="L30" s="135"/>
      <c r="M30" s="136"/>
      <c r="N30" s="136"/>
      <c r="O30" s="136"/>
      <c r="P30" s="136"/>
      <c r="Q30" s="187"/>
    </row>
    <row r="31" spans="1:17" s="1" customFormat="1">
      <c r="A31" s="229">
        <f>A29+1</f>
        <v>13</v>
      </c>
      <c r="B31" s="229" t="s">
        <v>149</v>
      </c>
      <c r="C31" s="253" t="s">
        <v>355</v>
      </c>
      <c r="D31" s="239" t="s">
        <v>82</v>
      </c>
      <c r="E31" s="254">
        <f>119.49</f>
        <v>119.49</v>
      </c>
      <c r="F31" s="146"/>
      <c r="G31" s="146"/>
      <c r="H31" s="146"/>
      <c r="I31" s="146"/>
      <c r="J31" s="146"/>
      <c r="K31" s="146"/>
      <c r="L31" s="146"/>
      <c r="M31" s="205"/>
      <c r="N31" s="205"/>
      <c r="O31" s="205"/>
      <c r="P31" s="205"/>
      <c r="Q31" s="187"/>
    </row>
    <row r="32" spans="1:17" s="1" customFormat="1" ht="24">
      <c r="A32" s="226">
        <f>A31+1</f>
        <v>14</v>
      </c>
      <c r="B32" s="226" t="s">
        <v>149</v>
      </c>
      <c r="C32" s="242" t="s">
        <v>349</v>
      </c>
      <c r="D32" s="227" t="s">
        <v>82</v>
      </c>
      <c r="E32" s="245">
        <f>E31</f>
        <v>119.49</v>
      </c>
      <c r="F32" s="145"/>
      <c r="G32" s="145"/>
      <c r="H32" s="145"/>
      <c r="I32" s="145"/>
      <c r="J32" s="145"/>
      <c r="K32" s="145"/>
      <c r="L32" s="145"/>
      <c r="M32" s="204"/>
      <c r="N32" s="204"/>
      <c r="O32" s="204"/>
      <c r="P32" s="204"/>
      <c r="Q32" s="187"/>
    </row>
    <row r="33" spans="1:17" s="1" customFormat="1" ht="36">
      <c r="A33" s="226">
        <f>A32+1</f>
        <v>15</v>
      </c>
      <c r="B33" s="226" t="s">
        <v>149</v>
      </c>
      <c r="C33" s="242" t="s">
        <v>350</v>
      </c>
      <c r="D33" s="227" t="s">
        <v>82</v>
      </c>
      <c r="E33" s="245">
        <f>E32</f>
        <v>119.49</v>
      </c>
      <c r="F33" s="145"/>
      <c r="G33" s="145"/>
      <c r="H33" s="145"/>
      <c r="I33" s="145"/>
      <c r="J33" s="145"/>
      <c r="K33" s="145"/>
      <c r="L33" s="145"/>
      <c r="M33" s="204"/>
      <c r="N33" s="204"/>
      <c r="O33" s="204"/>
      <c r="P33" s="204"/>
      <c r="Q33" s="187"/>
    </row>
    <row r="34" spans="1:17" s="1" customFormat="1">
      <c r="A34" s="228">
        <f>A33+1</f>
        <v>16</v>
      </c>
      <c r="B34" s="228" t="s">
        <v>149</v>
      </c>
      <c r="C34" s="250" t="s">
        <v>351</v>
      </c>
      <c r="D34" s="255" t="s">
        <v>82</v>
      </c>
      <c r="E34" s="256">
        <f>E33</f>
        <v>119.49</v>
      </c>
      <c r="F34" s="150"/>
      <c r="G34" s="150"/>
      <c r="H34" s="150"/>
      <c r="I34" s="150"/>
      <c r="J34" s="150"/>
      <c r="K34" s="150"/>
      <c r="L34" s="150"/>
      <c r="M34" s="207"/>
      <c r="N34" s="207"/>
      <c r="O34" s="207"/>
      <c r="P34" s="207"/>
      <c r="Q34" s="187"/>
    </row>
    <row r="35" spans="1:17" s="1" customFormat="1">
      <c r="A35" s="211"/>
      <c r="B35" s="211"/>
      <c r="C35" s="218" t="s">
        <v>357</v>
      </c>
      <c r="D35" s="215"/>
      <c r="E35" s="219"/>
      <c r="F35" s="135"/>
      <c r="G35" s="135"/>
      <c r="H35" s="135"/>
      <c r="I35" s="135"/>
      <c r="J35" s="135"/>
      <c r="K35" s="135"/>
      <c r="L35" s="135"/>
      <c r="M35" s="136"/>
      <c r="N35" s="136"/>
      <c r="O35" s="136"/>
      <c r="P35" s="136"/>
      <c r="Q35" s="187"/>
    </row>
    <row r="36" spans="1:17" s="1" customFormat="1" ht="24">
      <c r="A36" s="229">
        <f>A34+1</f>
        <v>17</v>
      </c>
      <c r="B36" s="229" t="s">
        <v>149</v>
      </c>
      <c r="C36" s="253" t="s">
        <v>349</v>
      </c>
      <c r="D36" s="239" t="s">
        <v>82</v>
      </c>
      <c r="E36" s="254">
        <f>9.52</f>
        <v>9.52</v>
      </c>
      <c r="F36" s="146"/>
      <c r="G36" s="146"/>
      <c r="H36" s="146"/>
      <c r="I36" s="146"/>
      <c r="J36" s="146"/>
      <c r="K36" s="146"/>
      <c r="L36" s="146"/>
      <c r="M36" s="205"/>
      <c r="N36" s="205"/>
      <c r="O36" s="205"/>
      <c r="P36" s="205"/>
      <c r="Q36" s="187"/>
    </row>
    <row r="37" spans="1:17" s="1" customFormat="1" ht="36">
      <c r="A37" s="226">
        <f>A36+1</f>
        <v>18</v>
      </c>
      <c r="B37" s="226" t="s">
        <v>149</v>
      </c>
      <c r="C37" s="242" t="s">
        <v>350</v>
      </c>
      <c r="D37" s="227" t="s">
        <v>82</v>
      </c>
      <c r="E37" s="245">
        <f>E36</f>
        <v>9.52</v>
      </c>
      <c r="F37" s="145"/>
      <c r="G37" s="145"/>
      <c r="H37" s="145"/>
      <c r="I37" s="145"/>
      <c r="J37" s="145"/>
      <c r="K37" s="145"/>
      <c r="L37" s="145"/>
      <c r="M37" s="204"/>
      <c r="N37" s="204"/>
      <c r="O37" s="204"/>
      <c r="P37" s="204"/>
      <c r="Q37" s="187"/>
    </row>
    <row r="38" spans="1:17" s="1" customFormat="1">
      <c r="A38" s="228">
        <f>A37+1</f>
        <v>19</v>
      </c>
      <c r="B38" s="228" t="s">
        <v>149</v>
      </c>
      <c r="C38" s="250" t="s">
        <v>351</v>
      </c>
      <c r="D38" s="255" t="s">
        <v>82</v>
      </c>
      <c r="E38" s="256">
        <f>E36</f>
        <v>9.52</v>
      </c>
      <c r="F38" s="150"/>
      <c r="G38" s="150"/>
      <c r="H38" s="150"/>
      <c r="I38" s="150"/>
      <c r="J38" s="150"/>
      <c r="K38" s="150"/>
      <c r="L38" s="150"/>
      <c r="M38" s="207"/>
      <c r="N38" s="207"/>
      <c r="O38" s="207"/>
      <c r="P38" s="207"/>
      <c r="Q38" s="187"/>
    </row>
    <row r="39" spans="1:17" s="1" customFormat="1">
      <c r="A39" s="211"/>
      <c r="B39" s="211"/>
      <c r="C39" s="218" t="s">
        <v>358</v>
      </c>
      <c r="D39" s="215"/>
      <c r="E39" s="219"/>
      <c r="F39" s="135"/>
      <c r="G39" s="135"/>
      <c r="H39" s="135"/>
      <c r="I39" s="135"/>
      <c r="J39" s="135"/>
      <c r="K39" s="135"/>
      <c r="L39" s="135"/>
      <c r="M39" s="136"/>
      <c r="N39" s="136"/>
      <c r="O39" s="136"/>
      <c r="P39" s="136"/>
      <c r="Q39" s="187"/>
    </row>
    <row r="40" spans="1:17" s="1" customFormat="1" ht="24">
      <c r="A40" s="229">
        <f>A38+1</f>
        <v>20</v>
      </c>
      <c r="B40" s="229" t="s">
        <v>149</v>
      </c>
      <c r="C40" s="253" t="s">
        <v>359</v>
      </c>
      <c r="D40" s="239" t="s">
        <v>82</v>
      </c>
      <c r="E40" s="254">
        <f>9.01</f>
        <v>9.01</v>
      </c>
      <c r="F40" s="146"/>
      <c r="G40" s="146"/>
      <c r="H40" s="146"/>
      <c r="I40" s="146"/>
      <c r="J40" s="146"/>
      <c r="K40" s="146"/>
      <c r="L40" s="146"/>
      <c r="M40" s="205"/>
      <c r="N40" s="205"/>
      <c r="O40" s="205"/>
      <c r="P40" s="205"/>
      <c r="Q40" s="187"/>
    </row>
    <row r="41" spans="1:17" s="1" customFormat="1" ht="36">
      <c r="A41" s="226">
        <f>A40+1</f>
        <v>21</v>
      </c>
      <c r="B41" s="226" t="s">
        <v>149</v>
      </c>
      <c r="C41" s="242" t="s">
        <v>350</v>
      </c>
      <c r="D41" s="227" t="s">
        <v>82</v>
      </c>
      <c r="E41" s="245">
        <f>E40</f>
        <v>9.01</v>
      </c>
      <c r="F41" s="145"/>
      <c r="G41" s="145"/>
      <c r="H41" s="145"/>
      <c r="I41" s="145"/>
      <c r="J41" s="145"/>
      <c r="K41" s="145"/>
      <c r="L41" s="145"/>
      <c r="M41" s="204"/>
      <c r="N41" s="204"/>
      <c r="O41" s="204"/>
      <c r="P41" s="204"/>
      <c r="Q41" s="187"/>
    </row>
    <row r="42" spans="1:17" s="1" customFormat="1">
      <c r="A42" s="228">
        <f>A41+1</f>
        <v>22</v>
      </c>
      <c r="B42" s="228" t="s">
        <v>149</v>
      </c>
      <c r="C42" s="250" t="s">
        <v>351</v>
      </c>
      <c r="D42" s="255" t="s">
        <v>82</v>
      </c>
      <c r="E42" s="256">
        <f>E40</f>
        <v>9.01</v>
      </c>
      <c r="F42" s="150"/>
      <c r="G42" s="150"/>
      <c r="H42" s="150"/>
      <c r="I42" s="150"/>
      <c r="J42" s="150"/>
      <c r="K42" s="150"/>
      <c r="L42" s="150"/>
      <c r="M42" s="207"/>
      <c r="N42" s="207"/>
      <c r="O42" s="207"/>
      <c r="P42" s="207"/>
      <c r="Q42" s="187"/>
    </row>
    <row r="43" spans="1:17" s="1" customFormat="1">
      <c r="A43" s="211"/>
      <c r="B43" s="211"/>
      <c r="C43" s="218" t="s">
        <v>360</v>
      </c>
      <c r="D43" s="215"/>
      <c r="E43" s="219"/>
      <c r="F43" s="135"/>
      <c r="G43" s="135"/>
      <c r="H43" s="135"/>
      <c r="I43" s="135"/>
      <c r="J43" s="135"/>
      <c r="K43" s="135"/>
      <c r="L43" s="135"/>
      <c r="M43" s="136"/>
      <c r="N43" s="136"/>
      <c r="O43" s="136"/>
      <c r="P43" s="136"/>
      <c r="Q43" s="187"/>
    </row>
    <row r="44" spans="1:17" s="1" customFormat="1">
      <c r="A44" s="229">
        <f>A42+1</f>
        <v>23</v>
      </c>
      <c r="B44" s="229" t="s">
        <v>149</v>
      </c>
      <c r="C44" s="253" t="s">
        <v>355</v>
      </c>
      <c r="D44" s="239" t="s">
        <v>82</v>
      </c>
      <c r="E44" s="254">
        <f>6.36</f>
        <v>6.36</v>
      </c>
      <c r="F44" s="146"/>
      <c r="G44" s="146"/>
      <c r="H44" s="146"/>
      <c r="I44" s="146"/>
      <c r="J44" s="146"/>
      <c r="K44" s="146"/>
      <c r="L44" s="146"/>
      <c r="M44" s="205"/>
      <c r="N44" s="205"/>
      <c r="O44" s="205"/>
      <c r="P44" s="205"/>
      <c r="Q44" s="187"/>
    </row>
    <row r="45" spans="1:17" s="1" customFormat="1" ht="24">
      <c r="A45" s="226">
        <f>A44+1</f>
        <v>24</v>
      </c>
      <c r="B45" s="226" t="s">
        <v>149</v>
      </c>
      <c r="C45" s="242" t="s">
        <v>349</v>
      </c>
      <c r="D45" s="227" t="s">
        <v>82</v>
      </c>
      <c r="E45" s="245">
        <f>E44</f>
        <v>6.36</v>
      </c>
      <c r="F45" s="145"/>
      <c r="G45" s="145"/>
      <c r="H45" s="145"/>
      <c r="I45" s="145"/>
      <c r="J45" s="145"/>
      <c r="K45" s="145"/>
      <c r="L45" s="145"/>
      <c r="M45" s="204"/>
      <c r="N45" s="204"/>
      <c r="O45" s="204"/>
      <c r="P45" s="204"/>
      <c r="Q45" s="187"/>
    </row>
    <row r="46" spans="1:17" s="1" customFormat="1" ht="36">
      <c r="A46" s="226">
        <f>A45+1</f>
        <v>25</v>
      </c>
      <c r="B46" s="226" t="s">
        <v>149</v>
      </c>
      <c r="C46" s="242" t="s">
        <v>361</v>
      </c>
      <c r="D46" s="227" t="s">
        <v>82</v>
      </c>
      <c r="E46" s="245">
        <f>E45</f>
        <v>6.36</v>
      </c>
      <c r="F46" s="145"/>
      <c r="G46" s="145"/>
      <c r="H46" s="145"/>
      <c r="I46" s="145"/>
      <c r="J46" s="145"/>
      <c r="K46" s="145"/>
      <c r="L46" s="145"/>
      <c r="M46" s="204"/>
      <c r="N46" s="204"/>
      <c r="O46" s="204"/>
      <c r="P46" s="204"/>
      <c r="Q46" s="187"/>
    </row>
    <row r="47" spans="1:17" s="1" customFormat="1">
      <c r="A47" s="228">
        <f>A46+1</f>
        <v>26</v>
      </c>
      <c r="B47" s="228" t="s">
        <v>149</v>
      </c>
      <c r="C47" s="250" t="s">
        <v>351</v>
      </c>
      <c r="D47" s="255" t="s">
        <v>82</v>
      </c>
      <c r="E47" s="256">
        <f>E46</f>
        <v>6.36</v>
      </c>
      <c r="F47" s="150"/>
      <c r="G47" s="150"/>
      <c r="H47" s="150"/>
      <c r="I47" s="150"/>
      <c r="J47" s="150"/>
      <c r="K47" s="150"/>
      <c r="L47" s="150"/>
      <c r="M47" s="207"/>
      <c r="N47" s="207"/>
      <c r="O47" s="207"/>
      <c r="P47" s="207"/>
      <c r="Q47" s="187"/>
    </row>
    <row r="48" spans="1:17" s="1" customFormat="1">
      <c r="A48" s="211"/>
      <c r="B48" s="211"/>
      <c r="C48" s="218" t="s">
        <v>362</v>
      </c>
      <c r="D48" s="215"/>
      <c r="E48" s="219"/>
      <c r="F48" s="135"/>
      <c r="G48" s="135"/>
      <c r="H48" s="135"/>
      <c r="I48" s="135"/>
      <c r="J48" s="135"/>
      <c r="K48" s="135"/>
      <c r="L48" s="135"/>
      <c r="M48" s="136"/>
      <c r="N48" s="136"/>
      <c r="O48" s="136"/>
      <c r="P48" s="136"/>
      <c r="Q48" s="187"/>
    </row>
    <row r="49" spans="1:17" s="1" customFormat="1">
      <c r="A49" s="229">
        <f>A47+1</f>
        <v>27</v>
      </c>
      <c r="B49" s="229" t="s">
        <v>149</v>
      </c>
      <c r="C49" s="253" t="s">
        <v>363</v>
      </c>
      <c r="D49" s="239" t="s">
        <v>82</v>
      </c>
      <c r="E49" s="254">
        <f>183.09</f>
        <v>183.09</v>
      </c>
      <c r="F49" s="146"/>
      <c r="G49" s="146"/>
      <c r="H49" s="146"/>
      <c r="I49" s="146"/>
      <c r="J49" s="146"/>
      <c r="K49" s="146"/>
      <c r="L49" s="146"/>
      <c r="M49" s="205"/>
      <c r="N49" s="205"/>
      <c r="O49" s="205"/>
      <c r="P49" s="205"/>
      <c r="Q49" s="187"/>
    </row>
    <row r="50" spans="1:17" s="1" customFormat="1">
      <c r="A50" s="226">
        <f>A49+1</f>
        <v>28</v>
      </c>
      <c r="B50" s="226" t="s">
        <v>149</v>
      </c>
      <c r="C50" s="242" t="s">
        <v>364</v>
      </c>
      <c r="D50" s="227" t="s">
        <v>82</v>
      </c>
      <c r="E50" s="245">
        <f>E49</f>
        <v>183.09</v>
      </c>
      <c r="F50" s="145"/>
      <c r="G50" s="145"/>
      <c r="H50" s="145"/>
      <c r="I50" s="145"/>
      <c r="J50" s="145"/>
      <c r="K50" s="145"/>
      <c r="L50" s="145"/>
      <c r="M50" s="204"/>
      <c r="N50" s="204"/>
      <c r="O50" s="204"/>
      <c r="P50" s="204"/>
      <c r="Q50" s="187"/>
    </row>
    <row r="51" spans="1:17" s="1" customFormat="1">
      <c r="A51" s="228">
        <f>A50+1</f>
        <v>29</v>
      </c>
      <c r="B51" s="228" t="s">
        <v>149</v>
      </c>
      <c r="C51" s="250" t="s">
        <v>365</v>
      </c>
      <c r="D51" s="255" t="s">
        <v>82</v>
      </c>
      <c r="E51" s="256">
        <f>E49</f>
        <v>183.09</v>
      </c>
      <c r="F51" s="150"/>
      <c r="G51" s="150"/>
      <c r="H51" s="150"/>
      <c r="I51" s="150"/>
      <c r="J51" s="150"/>
      <c r="K51" s="150"/>
      <c r="L51" s="150"/>
      <c r="M51" s="207"/>
      <c r="N51" s="207"/>
      <c r="O51" s="207"/>
      <c r="P51" s="207"/>
      <c r="Q51" s="187"/>
    </row>
    <row r="52" spans="1:17" s="1" customFormat="1">
      <c r="A52" s="211"/>
      <c r="B52" s="211"/>
      <c r="C52" s="218" t="s">
        <v>366</v>
      </c>
      <c r="D52" s="215"/>
      <c r="E52" s="219"/>
      <c r="F52" s="135"/>
      <c r="G52" s="135"/>
      <c r="H52" s="135"/>
      <c r="I52" s="135"/>
      <c r="J52" s="135"/>
      <c r="K52" s="135"/>
      <c r="L52" s="135"/>
      <c r="M52" s="136"/>
      <c r="N52" s="136"/>
      <c r="O52" s="136"/>
      <c r="P52" s="136"/>
      <c r="Q52" s="187"/>
    </row>
    <row r="53" spans="1:17" s="1" customFormat="1">
      <c r="A53" s="229">
        <f>A51+1</f>
        <v>30</v>
      </c>
      <c r="B53" s="229" t="s">
        <v>149</v>
      </c>
      <c r="C53" s="253" t="s">
        <v>363</v>
      </c>
      <c r="D53" s="239" t="s">
        <v>82</v>
      </c>
      <c r="E53" s="254">
        <f>24.9</f>
        <v>24.9</v>
      </c>
      <c r="F53" s="146"/>
      <c r="G53" s="146"/>
      <c r="H53" s="146"/>
      <c r="I53" s="146"/>
      <c r="J53" s="146"/>
      <c r="K53" s="146"/>
      <c r="L53" s="146"/>
      <c r="M53" s="205"/>
      <c r="N53" s="205"/>
      <c r="O53" s="205"/>
      <c r="P53" s="205"/>
      <c r="Q53" s="187"/>
    </row>
    <row r="54" spans="1:17" s="1" customFormat="1">
      <c r="A54" s="226">
        <f>A53+1</f>
        <v>31</v>
      </c>
      <c r="B54" s="226" t="s">
        <v>149</v>
      </c>
      <c r="C54" s="242" t="s">
        <v>367</v>
      </c>
      <c r="D54" s="227" t="s">
        <v>82</v>
      </c>
      <c r="E54" s="245">
        <f>E53</f>
        <v>24.9</v>
      </c>
      <c r="F54" s="145"/>
      <c r="G54" s="145"/>
      <c r="H54" s="145"/>
      <c r="I54" s="145"/>
      <c r="J54" s="145"/>
      <c r="K54" s="145"/>
      <c r="L54" s="145"/>
      <c r="M54" s="204"/>
      <c r="N54" s="204"/>
      <c r="O54" s="204"/>
      <c r="P54" s="204"/>
      <c r="Q54" s="187"/>
    </row>
    <row r="55" spans="1:17" s="1" customFormat="1">
      <c r="A55" s="228">
        <f>A54+1</f>
        <v>32</v>
      </c>
      <c r="B55" s="228" t="s">
        <v>149</v>
      </c>
      <c r="C55" s="250" t="s">
        <v>365</v>
      </c>
      <c r="D55" s="255" t="s">
        <v>82</v>
      </c>
      <c r="E55" s="256">
        <f>E53</f>
        <v>24.9</v>
      </c>
      <c r="F55" s="150"/>
      <c r="G55" s="150"/>
      <c r="H55" s="150"/>
      <c r="I55" s="150"/>
      <c r="J55" s="150"/>
      <c r="K55" s="150"/>
      <c r="L55" s="150"/>
      <c r="M55" s="207"/>
      <c r="N55" s="207"/>
      <c r="O55" s="207"/>
      <c r="P55" s="207"/>
      <c r="Q55" s="187"/>
    </row>
    <row r="56" spans="1:17" s="1" customFormat="1">
      <c r="A56" s="211"/>
      <c r="B56" s="211"/>
      <c r="C56" s="218" t="s">
        <v>368</v>
      </c>
      <c r="D56" s="215"/>
      <c r="E56" s="219"/>
      <c r="F56" s="135"/>
      <c r="G56" s="135"/>
      <c r="H56" s="135"/>
      <c r="I56" s="135"/>
      <c r="J56" s="135"/>
      <c r="K56" s="135"/>
      <c r="L56" s="135"/>
      <c r="M56" s="136"/>
      <c r="N56" s="136"/>
      <c r="O56" s="136"/>
      <c r="P56" s="136"/>
      <c r="Q56" s="187"/>
    </row>
    <row r="57" spans="1:17" s="1" customFormat="1">
      <c r="A57" s="229">
        <f>A55+1</f>
        <v>33</v>
      </c>
      <c r="B57" s="229" t="s">
        <v>149</v>
      </c>
      <c r="C57" s="253" t="s">
        <v>363</v>
      </c>
      <c r="D57" s="239" t="s">
        <v>82</v>
      </c>
      <c r="E57" s="254">
        <f>47.51</f>
        <v>47.51</v>
      </c>
      <c r="F57" s="146"/>
      <c r="G57" s="146"/>
      <c r="H57" s="146"/>
      <c r="I57" s="146"/>
      <c r="J57" s="146"/>
      <c r="K57" s="146"/>
      <c r="L57" s="146"/>
      <c r="M57" s="205"/>
      <c r="N57" s="205"/>
      <c r="O57" s="205"/>
      <c r="P57" s="205"/>
      <c r="Q57" s="187"/>
    </row>
    <row r="58" spans="1:17" s="1" customFormat="1">
      <c r="A58" s="226">
        <f>A57+1</f>
        <v>34</v>
      </c>
      <c r="B58" s="226" t="s">
        <v>149</v>
      </c>
      <c r="C58" s="242" t="s">
        <v>364</v>
      </c>
      <c r="D58" s="227" t="s">
        <v>82</v>
      </c>
      <c r="E58" s="245">
        <f>E57</f>
        <v>47.51</v>
      </c>
      <c r="F58" s="145"/>
      <c r="G58" s="145"/>
      <c r="H58" s="145"/>
      <c r="I58" s="145"/>
      <c r="J58" s="145"/>
      <c r="K58" s="145"/>
      <c r="L58" s="145"/>
      <c r="M58" s="204"/>
      <c r="N58" s="204"/>
      <c r="O58" s="204"/>
      <c r="P58" s="204"/>
      <c r="Q58" s="187"/>
    </row>
    <row r="59" spans="1:17" s="1" customFormat="1">
      <c r="A59" s="228">
        <f>A58+1</f>
        <v>35</v>
      </c>
      <c r="B59" s="228" t="s">
        <v>149</v>
      </c>
      <c r="C59" s="250" t="s">
        <v>365</v>
      </c>
      <c r="D59" s="255" t="s">
        <v>82</v>
      </c>
      <c r="E59" s="256">
        <f>E57</f>
        <v>47.51</v>
      </c>
      <c r="F59" s="150"/>
      <c r="G59" s="150"/>
      <c r="H59" s="150"/>
      <c r="I59" s="150"/>
      <c r="J59" s="150"/>
      <c r="K59" s="150"/>
      <c r="L59" s="150"/>
      <c r="M59" s="207"/>
      <c r="N59" s="207"/>
      <c r="O59" s="207"/>
      <c r="P59" s="207"/>
      <c r="Q59" s="187"/>
    </row>
    <row r="60" spans="1:17" s="1" customFormat="1">
      <c r="A60" s="211"/>
      <c r="B60" s="211"/>
      <c r="C60" s="218" t="s">
        <v>369</v>
      </c>
      <c r="D60" s="215"/>
      <c r="E60" s="219"/>
      <c r="F60" s="135"/>
      <c r="G60" s="135"/>
      <c r="H60" s="135"/>
      <c r="I60" s="135"/>
      <c r="J60" s="135"/>
      <c r="K60" s="135"/>
      <c r="L60" s="135"/>
      <c r="M60" s="136"/>
      <c r="N60" s="136"/>
      <c r="O60" s="136"/>
      <c r="P60" s="136"/>
      <c r="Q60" s="187"/>
    </row>
    <row r="61" spans="1:17" s="1" customFormat="1">
      <c r="A61" s="229">
        <f>A59+1</f>
        <v>36</v>
      </c>
      <c r="B61" s="229" t="s">
        <v>149</v>
      </c>
      <c r="C61" s="253" t="s">
        <v>370</v>
      </c>
      <c r="D61" s="239" t="s">
        <v>82</v>
      </c>
      <c r="E61" s="254">
        <f>7.96</f>
        <v>7.96</v>
      </c>
      <c r="F61" s="146"/>
      <c r="G61" s="146"/>
      <c r="H61" s="146"/>
      <c r="I61" s="146"/>
      <c r="J61" s="146"/>
      <c r="K61" s="146"/>
      <c r="L61" s="146"/>
      <c r="M61" s="205"/>
      <c r="N61" s="205"/>
      <c r="O61" s="205"/>
      <c r="P61" s="205"/>
      <c r="Q61" s="187"/>
    </row>
    <row r="62" spans="1:17" s="1" customFormat="1">
      <c r="A62" s="226">
        <f>A61+1</f>
        <v>37</v>
      </c>
      <c r="B62" s="226" t="s">
        <v>149</v>
      </c>
      <c r="C62" s="242" t="s">
        <v>351</v>
      </c>
      <c r="D62" s="227" t="s">
        <v>82</v>
      </c>
      <c r="E62" s="245">
        <f>E61</f>
        <v>7.96</v>
      </c>
      <c r="F62" s="145"/>
      <c r="G62" s="145"/>
      <c r="H62" s="145"/>
      <c r="I62" s="145"/>
      <c r="J62" s="145"/>
      <c r="K62" s="145"/>
      <c r="L62" s="145"/>
      <c r="M62" s="204"/>
      <c r="N62" s="204"/>
      <c r="O62" s="204"/>
      <c r="P62" s="204"/>
      <c r="Q62" s="187"/>
    </row>
    <row r="63" spans="1:17" s="1" customFormat="1" ht="24">
      <c r="A63" s="228">
        <f>A62+1</f>
        <v>38</v>
      </c>
      <c r="B63" s="228" t="s">
        <v>149</v>
      </c>
      <c r="C63" s="250" t="s">
        <v>371</v>
      </c>
      <c r="D63" s="255" t="s">
        <v>82</v>
      </c>
      <c r="E63" s="256">
        <f>E61</f>
        <v>7.96</v>
      </c>
      <c r="F63" s="150"/>
      <c r="G63" s="150"/>
      <c r="H63" s="150"/>
      <c r="I63" s="150"/>
      <c r="J63" s="150"/>
      <c r="K63" s="150"/>
      <c r="L63" s="150"/>
      <c r="M63" s="207"/>
      <c r="N63" s="207"/>
      <c r="O63" s="207"/>
      <c r="P63" s="207"/>
      <c r="Q63" s="187"/>
    </row>
    <row r="64" spans="1:17" s="1" customFormat="1">
      <c r="A64" s="211"/>
      <c r="B64" s="211"/>
      <c r="C64" s="218" t="s">
        <v>372</v>
      </c>
      <c r="D64" s="215"/>
      <c r="E64" s="219"/>
      <c r="F64" s="135"/>
      <c r="G64" s="135"/>
      <c r="H64" s="135"/>
      <c r="I64" s="135"/>
      <c r="J64" s="135"/>
      <c r="K64" s="135"/>
      <c r="L64" s="135"/>
      <c r="M64" s="136"/>
      <c r="N64" s="136"/>
      <c r="O64" s="136"/>
      <c r="P64" s="136"/>
      <c r="Q64" s="187"/>
    </row>
    <row r="65" spans="1:17" s="1" customFormat="1">
      <c r="A65" s="229">
        <f>A63+1</f>
        <v>39</v>
      </c>
      <c r="B65" s="229" t="s">
        <v>149</v>
      </c>
      <c r="C65" s="253" t="s">
        <v>363</v>
      </c>
      <c r="D65" s="239" t="s">
        <v>82</v>
      </c>
      <c r="E65" s="254">
        <f>59.8</f>
        <v>59.8</v>
      </c>
      <c r="F65" s="146"/>
      <c r="G65" s="146"/>
      <c r="H65" s="146"/>
      <c r="I65" s="146"/>
      <c r="J65" s="146"/>
      <c r="K65" s="146"/>
      <c r="L65" s="146"/>
      <c r="M65" s="205"/>
      <c r="N65" s="205"/>
      <c r="O65" s="205"/>
      <c r="P65" s="205"/>
      <c r="Q65" s="187"/>
    </row>
    <row r="66" spans="1:17" s="1" customFormat="1">
      <c r="A66" s="226">
        <f>A65+1</f>
        <v>40</v>
      </c>
      <c r="B66" s="226" t="s">
        <v>149</v>
      </c>
      <c r="C66" s="242" t="s">
        <v>364</v>
      </c>
      <c r="D66" s="227" t="s">
        <v>82</v>
      </c>
      <c r="E66" s="245">
        <f>E65</f>
        <v>59.8</v>
      </c>
      <c r="F66" s="145"/>
      <c r="G66" s="145"/>
      <c r="H66" s="145"/>
      <c r="I66" s="145"/>
      <c r="J66" s="145"/>
      <c r="K66" s="145"/>
      <c r="L66" s="145"/>
      <c r="M66" s="204"/>
      <c r="N66" s="204"/>
      <c r="O66" s="204"/>
      <c r="P66" s="204"/>
      <c r="Q66" s="187"/>
    </row>
    <row r="67" spans="1:17" s="1" customFormat="1">
      <c r="A67" s="228">
        <f>A66+1</f>
        <v>41</v>
      </c>
      <c r="B67" s="228" t="s">
        <v>149</v>
      </c>
      <c r="C67" s="250" t="s">
        <v>365</v>
      </c>
      <c r="D67" s="255" t="s">
        <v>82</v>
      </c>
      <c r="E67" s="256">
        <f>E65</f>
        <v>59.8</v>
      </c>
      <c r="F67" s="150"/>
      <c r="G67" s="150"/>
      <c r="H67" s="150"/>
      <c r="I67" s="150"/>
      <c r="J67" s="150"/>
      <c r="K67" s="150"/>
      <c r="L67" s="150"/>
      <c r="M67" s="207"/>
      <c r="N67" s="207"/>
      <c r="O67" s="207"/>
      <c r="P67" s="207"/>
      <c r="Q67" s="187"/>
    </row>
    <row r="68" spans="1:17" s="1" customFormat="1">
      <c r="A68" s="211"/>
      <c r="B68" s="211"/>
      <c r="C68" s="218" t="s">
        <v>373</v>
      </c>
      <c r="D68" s="215"/>
      <c r="E68" s="219"/>
      <c r="F68" s="135"/>
      <c r="G68" s="135"/>
      <c r="H68" s="135"/>
      <c r="I68" s="135"/>
      <c r="J68" s="135"/>
      <c r="K68" s="135"/>
      <c r="L68" s="135"/>
      <c r="M68" s="136"/>
      <c r="N68" s="136"/>
      <c r="O68" s="136"/>
      <c r="P68" s="136"/>
      <c r="Q68" s="187"/>
    </row>
    <row r="69" spans="1:17" s="1" customFormat="1">
      <c r="A69" s="229">
        <f>A67+1</f>
        <v>42</v>
      </c>
      <c r="B69" s="229" t="s">
        <v>149</v>
      </c>
      <c r="C69" s="253" t="s">
        <v>363</v>
      </c>
      <c r="D69" s="239" t="s">
        <v>82</v>
      </c>
      <c r="E69" s="254">
        <f>21.7</f>
        <v>21.7</v>
      </c>
      <c r="F69" s="146"/>
      <c r="G69" s="146"/>
      <c r="H69" s="146"/>
      <c r="I69" s="146"/>
      <c r="J69" s="146"/>
      <c r="K69" s="146"/>
      <c r="L69" s="146"/>
      <c r="M69" s="205"/>
      <c r="N69" s="205"/>
      <c r="O69" s="205"/>
      <c r="P69" s="205"/>
      <c r="Q69" s="187"/>
    </row>
    <row r="70" spans="1:17" s="1" customFormat="1">
      <c r="A70" s="226">
        <f>A69+1</f>
        <v>43</v>
      </c>
      <c r="B70" s="226" t="s">
        <v>149</v>
      </c>
      <c r="C70" s="242" t="s">
        <v>364</v>
      </c>
      <c r="D70" s="227" t="s">
        <v>82</v>
      </c>
      <c r="E70" s="245">
        <f>E69</f>
        <v>21.7</v>
      </c>
      <c r="F70" s="145"/>
      <c r="G70" s="145"/>
      <c r="H70" s="145"/>
      <c r="I70" s="145"/>
      <c r="J70" s="145"/>
      <c r="K70" s="145"/>
      <c r="L70" s="145"/>
      <c r="M70" s="204"/>
      <c r="N70" s="204"/>
      <c r="O70" s="204"/>
      <c r="P70" s="204"/>
      <c r="Q70" s="187"/>
    </row>
    <row r="71" spans="1:17" s="1" customFormat="1">
      <c r="A71" s="228">
        <f>A70+1</f>
        <v>44</v>
      </c>
      <c r="B71" s="228" t="s">
        <v>149</v>
      </c>
      <c r="C71" s="250" t="s">
        <v>365</v>
      </c>
      <c r="D71" s="255" t="s">
        <v>82</v>
      </c>
      <c r="E71" s="256">
        <f>E69</f>
        <v>21.7</v>
      </c>
      <c r="F71" s="150"/>
      <c r="G71" s="150"/>
      <c r="H71" s="150"/>
      <c r="I71" s="150"/>
      <c r="J71" s="150"/>
      <c r="K71" s="150"/>
      <c r="L71" s="150"/>
      <c r="M71" s="207"/>
      <c r="N71" s="207"/>
      <c r="O71" s="207"/>
      <c r="P71" s="207"/>
      <c r="Q71" s="187"/>
    </row>
    <row r="72" spans="1:17" s="1" customFormat="1">
      <c r="A72" s="211"/>
      <c r="B72" s="211"/>
      <c r="C72" s="218" t="s">
        <v>374</v>
      </c>
      <c r="D72" s="215"/>
      <c r="E72" s="219"/>
      <c r="F72" s="135"/>
      <c r="G72" s="135"/>
      <c r="H72" s="135"/>
      <c r="I72" s="135"/>
      <c r="J72" s="135"/>
      <c r="K72" s="135"/>
      <c r="L72" s="135"/>
      <c r="M72" s="136"/>
      <c r="N72" s="136"/>
      <c r="O72" s="136"/>
      <c r="P72" s="136"/>
      <c r="Q72" s="187"/>
    </row>
    <row r="73" spans="1:17" s="1" customFormat="1">
      <c r="A73" s="229">
        <f>A71+1</f>
        <v>45</v>
      </c>
      <c r="B73" s="229" t="s">
        <v>149</v>
      </c>
      <c r="C73" s="253" t="s">
        <v>363</v>
      </c>
      <c r="D73" s="239" t="s">
        <v>82</v>
      </c>
      <c r="E73" s="254">
        <f>20.5</f>
        <v>20.5</v>
      </c>
      <c r="F73" s="146"/>
      <c r="G73" s="146"/>
      <c r="H73" s="146"/>
      <c r="I73" s="146"/>
      <c r="J73" s="146"/>
      <c r="K73" s="146"/>
      <c r="L73" s="146"/>
      <c r="M73" s="205"/>
      <c r="N73" s="205"/>
      <c r="O73" s="205"/>
      <c r="P73" s="205"/>
      <c r="Q73" s="187"/>
    </row>
    <row r="74" spans="1:17" s="1" customFormat="1">
      <c r="A74" s="226">
        <f>A73+1</f>
        <v>46</v>
      </c>
      <c r="B74" s="226" t="s">
        <v>149</v>
      </c>
      <c r="C74" s="242" t="s">
        <v>364</v>
      </c>
      <c r="D74" s="227" t="s">
        <v>82</v>
      </c>
      <c r="E74" s="245">
        <f>E73</f>
        <v>20.5</v>
      </c>
      <c r="F74" s="145"/>
      <c r="G74" s="145"/>
      <c r="H74" s="145"/>
      <c r="I74" s="145"/>
      <c r="J74" s="145"/>
      <c r="K74" s="145"/>
      <c r="L74" s="145"/>
      <c r="M74" s="204"/>
      <c r="N74" s="204"/>
      <c r="O74" s="204"/>
      <c r="P74" s="204"/>
      <c r="Q74" s="187"/>
    </row>
    <row r="75" spans="1:17" s="1" customFormat="1">
      <c r="A75" s="228">
        <f>A74+1</f>
        <v>47</v>
      </c>
      <c r="B75" s="228" t="s">
        <v>149</v>
      </c>
      <c r="C75" s="250" t="s">
        <v>365</v>
      </c>
      <c r="D75" s="255" t="s">
        <v>82</v>
      </c>
      <c r="E75" s="256">
        <f>E73</f>
        <v>20.5</v>
      </c>
      <c r="F75" s="150"/>
      <c r="G75" s="150"/>
      <c r="H75" s="150"/>
      <c r="I75" s="150"/>
      <c r="J75" s="150"/>
      <c r="K75" s="150"/>
      <c r="L75" s="150"/>
      <c r="M75" s="207"/>
      <c r="N75" s="207"/>
      <c r="O75" s="207"/>
      <c r="P75" s="207"/>
      <c r="Q75" s="187"/>
    </row>
    <row r="76" spans="1:17" s="1" customFormat="1">
      <c r="A76" s="211"/>
      <c r="B76" s="211"/>
      <c r="C76" s="217" t="s">
        <v>375</v>
      </c>
      <c r="D76" s="215"/>
      <c r="E76" s="219"/>
      <c r="F76" s="135"/>
      <c r="G76" s="135"/>
      <c r="H76" s="135"/>
      <c r="I76" s="135"/>
      <c r="J76" s="135"/>
      <c r="K76" s="135"/>
      <c r="L76" s="135"/>
      <c r="M76" s="136"/>
      <c r="N76" s="136"/>
      <c r="O76" s="136"/>
      <c r="P76" s="136"/>
      <c r="Q76" s="187"/>
    </row>
    <row r="77" spans="1:17" s="1" customFormat="1">
      <c r="A77" s="229">
        <f>A75+1</f>
        <v>48</v>
      </c>
      <c r="B77" s="229" t="s">
        <v>149</v>
      </c>
      <c r="C77" s="253" t="s">
        <v>376</v>
      </c>
      <c r="D77" s="239" t="s">
        <v>82</v>
      </c>
      <c r="E77" s="254">
        <f>153.12</f>
        <v>153.12</v>
      </c>
      <c r="F77" s="146"/>
      <c r="G77" s="146"/>
      <c r="H77" s="146"/>
      <c r="I77" s="146"/>
      <c r="J77" s="146"/>
      <c r="K77" s="146"/>
      <c r="L77" s="146"/>
      <c r="M77" s="205"/>
      <c r="N77" s="205"/>
      <c r="O77" s="205"/>
      <c r="P77" s="205"/>
      <c r="Q77" s="187"/>
    </row>
    <row r="78" spans="1:17" s="1" customFormat="1" ht="150">
      <c r="A78" s="229">
        <f>A77+1</f>
        <v>49</v>
      </c>
      <c r="B78" s="229"/>
      <c r="C78" s="445" t="s">
        <v>377</v>
      </c>
      <c r="D78" s="227" t="s">
        <v>82</v>
      </c>
      <c r="E78" s="245">
        <f>1354.53</f>
        <v>1354.53</v>
      </c>
      <c r="F78" s="146"/>
      <c r="G78" s="146"/>
      <c r="H78" s="146"/>
      <c r="I78" s="146"/>
      <c r="J78" s="146"/>
      <c r="K78" s="146"/>
      <c r="L78" s="146"/>
      <c r="M78" s="205"/>
      <c r="N78" s="205"/>
      <c r="O78" s="205"/>
      <c r="P78" s="205"/>
      <c r="Q78" s="187"/>
    </row>
    <row r="79" spans="1:17" s="1" customFormat="1">
      <c r="A79" s="229">
        <f>A78+1</f>
        <v>50</v>
      </c>
      <c r="B79" s="226" t="s">
        <v>149</v>
      </c>
      <c r="C79" s="242" t="s">
        <v>378</v>
      </c>
      <c r="D79" s="227" t="s">
        <v>82</v>
      </c>
      <c r="E79" s="245">
        <f>24.4+248.54</f>
        <v>272.94</v>
      </c>
      <c r="F79" s="145"/>
      <c r="G79" s="145"/>
      <c r="H79" s="145"/>
      <c r="I79" s="145"/>
      <c r="J79" s="145"/>
      <c r="K79" s="145"/>
      <c r="L79" s="145"/>
      <c r="M79" s="204"/>
      <c r="N79" s="204"/>
      <c r="O79" s="204"/>
      <c r="P79" s="204"/>
      <c r="Q79" s="187"/>
    </row>
    <row r="80" spans="1:17" s="1" customFormat="1">
      <c r="A80" s="226">
        <f>A79+1</f>
        <v>51</v>
      </c>
      <c r="B80" s="226" t="s">
        <v>149</v>
      </c>
      <c r="C80" s="242" t="s">
        <v>379</v>
      </c>
      <c r="D80" s="227" t="s">
        <v>82</v>
      </c>
      <c r="E80" s="245">
        <f>127.2</f>
        <v>127.2</v>
      </c>
      <c r="F80" s="145"/>
      <c r="G80" s="145"/>
      <c r="H80" s="145"/>
      <c r="I80" s="145"/>
      <c r="J80" s="145"/>
      <c r="K80" s="145"/>
      <c r="L80" s="145"/>
      <c r="M80" s="204"/>
      <c r="N80" s="204"/>
      <c r="O80" s="204"/>
      <c r="P80" s="204"/>
      <c r="Q80" s="187"/>
    </row>
    <row r="81" spans="1:17" s="1" customFormat="1" ht="24">
      <c r="A81" s="224">
        <f>A80+1</f>
        <v>52</v>
      </c>
      <c r="B81" s="224" t="s">
        <v>149</v>
      </c>
      <c r="C81" s="240" t="s">
        <v>380</v>
      </c>
      <c r="D81" s="225" t="s">
        <v>82</v>
      </c>
      <c r="E81" s="241">
        <f>8.25</f>
        <v>8.25</v>
      </c>
      <c r="F81" s="146"/>
      <c r="G81" s="146"/>
      <c r="H81" s="146"/>
      <c r="I81" s="146"/>
      <c r="J81" s="146"/>
      <c r="K81" s="146"/>
      <c r="L81" s="146"/>
      <c r="M81" s="205"/>
      <c r="N81" s="205"/>
      <c r="O81" s="205"/>
      <c r="P81" s="205"/>
      <c r="Q81" s="187"/>
    </row>
    <row r="82" spans="1:17">
      <c r="A82" s="904" t="s">
        <v>177</v>
      </c>
      <c r="B82" s="904"/>
      <c r="C82" s="904"/>
      <c r="D82" s="904"/>
      <c r="E82" s="904"/>
      <c r="F82" s="904"/>
      <c r="G82" s="904"/>
      <c r="H82" s="904"/>
      <c r="I82" s="904"/>
      <c r="J82" s="904"/>
      <c r="K82" s="904"/>
      <c r="L82" s="131">
        <f>SUM(L14:L81)</f>
        <v>0</v>
      </c>
      <c r="M82" s="131">
        <f>SUM(M14:M81)</f>
        <v>0</v>
      </c>
      <c r="N82" s="131">
        <f>SUM(N14:N81)</f>
        <v>0</v>
      </c>
      <c r="O82" s="131">
        <f>SUM(O14:O81)</f>
        <v>0</v>
      </c>
      <c r="P82" s="131">
        <f>SUM(P14:P81)</f>
        <v>0</v>
      </c>
    </row>
    <row r="83" spans="1:17" s="9" customFormat="1" collapsed="1">
      <c r="A83" s="885" t="s">
        <v>36</v>
      </c>
      <c r="B83" s="885"/>
      <c r="C83" s="1"/>
      <c r="D83" s="1"/>
      <c r="E83" s="1"/>
      <c r="F83" s="1"/>
      <c r="G83" s="1"/>
      <c r="H83" s="1"/>
      <c r="I83" s="1"/>
      <c r="J83" s="1"/>
      <c r="K83" s="1"/>
      <c r="L83" s="1"/>
      <c r="M83" s="1"/>
      <c r="N83" s="1"/>
      <c r="O83" s="1"/>
      <c r="P83" s="1"/>
      <c r="Q83" s="190"/>
    </row>
    <row r="84" spans="1:17" s="1" customFormat="1" ht="12.75" customHeight="1">
      <c r="A84" s="886" t="s">
        <v>56</v>
      </c>
      <c r="B84" s="886"/>
      <c r="C84" s="886"/>
      <c r="D84" s="886"/>
      <c r="E84" s="886"/>
      <c r="F84" s="886"/>
      <c r="G84" s="886"/>
      <c r="H84" s="886"/>
      <c r="I84" s="886"/>
      <c r="J84" s="886"/>
      <c r="K84" s="886"/>
      <c r="L84" s="886"/>
      <c r="M84" s="886"/>
      <c r="N84" s="886"/>
      <c r="O84" s="886"/>
      <c r="P84" s="886"/>
      <c r="Q84" s="187"/>
    </row>
    <row r="85" spans="1:17" s="1" customFormat="1" ht="12.75" customHeight="1">
      <c r="A85" s="903"/>
      <c r="B85" s="903"/>
      <c r="C85" s="9"/>
      <c r="D85" s="9"/>
      <c r="E85" s="9"/>
      <c r="F85" s="9"/>
      <c r="G85" s="9"/>
      <c r="H85" s="9"/>
      <c r="I85" s="9"/>
      <c r="J85" s="9"/>
      <c r="K85" s="9"/>
      <c r="L85" s="50">
        <f>Koptame!A66</f>
        <v>0</v>
      </c>
      <c r="M85" s="50"/>
      <c r="N85" s="50"/>
      <c r="O85" s="50"/>
      <c r="P85" s="50"/>
      <c r="Q85" s="187"/>
    </row>
    <row r="86" spans="1:17" s="1" customFormat="1" ht="12.75" customHeight="1">
      <c r="A86" s="902" t="s">
        <v>7</v>
      </c>
      <c r="B86" s="902"/>
      <c r="C86" s="5"/>
      <c r="D86" s="9"/>
      <c r="E86" s="9"/>
      <c r="F86" s="9"/>
      <c r="G86" s="9"/>
      <c r="H86" s="9"/>
      <c r="I86" s="9"/>
      <c r="J86" s="9"/>
      <c r="K86" s="9"/>
      <c r="L86" s="5"/>
      <c r="M86" s="887">
        <f>Koptame!B67</f>
        <v>0</v>
      </c>
      <c r="N86" s="887"/>
      <c r="O86" s="50"/>
      <c r="P86" s="50"/>
      <c r="Q86" s="187"/>
    </row>
    <row r="87" spans="1:17" s="1" customFormat="1" ht="12.75" customHeight="1">
      <c r="B87" s="58"/>
      <c r="Q87" s="187"/>
    </row>
    <row r="88" spans="1:17" s="9" customFormat="1">
      <c r="Q88" s="190"/>
    </row>
    <row r="89" spans="1:17" s="9" customFormat="1">
      <c r="C89" s="5"/>
      <c r="L89" s="5"/>
      <c r="M89" s="887"/>
      <c r="N89" s="887"/>
      <c r="Q89" s="190"/>
    </row>
    <row r="90" spans="1:17" s="9" customFormat="1" ht="150">
      <c r="C90" s="445" t="s">
        <v>377</v>
      </c>
      <c r="L90" s="6"/>
      <c r="M90" s="878"/>
      <c r="N90" s="878"/>
      <c r="Q90" s="190"/>
    </row>
    <row r="91" spans="1:17" s="9" customFormat="1" collapsed="1">
      <c r="B91" s="51"/>
      <c r="F91" s="51"/>
      <c r="G91" s="51"/>
      <c r="Q91" s="190"/>
    </row>
  </sheetData>
  <mergeCells count="27">
    <mergeCell ref="M89:N89"/>
    <mergeCell ref="M90:N90"/>
    <mergeCell ref="A10:A11"/>
    <mergeCell ref="B10:B11"/>
    <mergeCell ref="C10:C11"/>
    <mergeCell ref="D10:D11"/>
    <mergeCell ref="E10:E11"/>
    <mergeCell ref="F10:K10"/>
    <mergeCell ref="L10:P10"/>
    <mergeCell ref="A84:P84"/>
    <mergeCell ref="A85:B85"/>
    <mergeCell ref="A86:B86"/>
    <mergeCell ref="M86:N86"/>
    <mergeCell ref="A1:P1"/>
    <mergeCell ref="A82:K82"/>
    <mergeCell ref="A83:B83"/>
    <mergeCell ref="A3:B3"/>
    <mergeCell ref="C3:P3"/>
    <mergeCell ref="A7:B7"/>
    <mergeCell ref="C7:P7"/>
    <mergeCell ref="A2:P2"/>
    <mergeCell ref="A4:B4"/>
    <mergeCell ref="C4:P4"/>
    <mergeCell ref="A5:B5"/>
    <mergeCell ref="C5:P5"/>
    <mergeCell ref="A6:B6"/>
    <mergeCell ref="C6:P6"/>
  </mergeCells>
  <conditionalFormatting sqref="C17:C77">
    <cfRule type="expression" priority="61" stopIfTrue="1">
      <formula>#REF!</formula>
    </cfRule>
  </conditionalFormatting>
  <conditionalFormatting sqref="C79">
    <cfRule type="expression" priority="14" stopIfTrue="1">
      <formula>#REF!</formula>
    </cfRule>
  </conditionalFormatting>
  <conditionalFormatting sqref="C79">
    <cfRule type="expression" priority="13" stopIfTrue="1">
      <formula>#REF!</formula>
    </cfRule>
  </conditionalFormatting>
  <conditionalFormatting sqref="C80">
    <cfRule type="expression" priority="12" stopIfTrue="1">
      <formula>#REF!</formula>
    </cfRule>
  </conditionalFormatting>
  <conditionalFormatting sqref="C80">
    <cfRule type="expression" priority="11" stopIfTrue="1">
      <formula>#REF!</formula>
    </cfRule>
  </conditionalFormatting>
  <conditionalFormatting sqref="C81">
    <cfRule type="expression" priority="10" stopIfTrue="1">
      <formula>#REF!</formula>
    </cfRule>
  </conditionalFormatting>
  <conditionalFormatting sqref="C81">
    <cfRule type="expression" priority="9"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P83"/>
  <sheetViews>
    <sheetView showZeros="0" zoomScale="75" zoomScaleNormal="75" zoomScaleSheetLayoutView="80" workbookViewId="0">
      <selection activeCell="E12" sqref="E12"/>
    </sheetView>
  </sheetViews>
  <sheetFormatPr defaultColWidth="9.140625" defaultRowHeight="15"/>
  <cols>
    <col min="1" max="1" width="8.85546875" style="85" customWidth="1"/>
    <col min="2" max="2" width="11.85546875" style="85" customWidth="1"/>
    <col min="3" max="3" width="45.7109375" style="88" customWidth="1"/>
    <col min="4" max="4" width="8.7109375" style="60" customWidth="1"/>
    <col min="5" max="5" width="8.7109375" style="102" customWidth="1"/>
    <col min="6" max="11" width="8.7109375" style="60" customWidth="1"/>
    <col min="12" max="16" width="12.7109375" style="60" customWidth="1"/>
    <col min="17" max="16384" width="9.140625" style="60"/>
  </cols>
  <sheetData>
    <row r="1" spans="1:16" s="59" customFormat="1" ht="15.75">
      <c r="A1" s="875" t="s">
        <v>60</v>
      </c>
      <c r="B1" s="875"/>
      <c r="C1" s="875"/>
      <c r="D1" s="875"/>
      <c r="E1" s="875"/>
      <c r="F1" s="875"/>
      <c r="G1" s="875"/>
      <c r="H1" s="875"/>
      <c r="I1" s="875"/>
      <c r="J1" s="875"/>
      <c r="K1" s="875"/>
      <c r="L1" s="875"/>
      <c r="M1" s="875"/>
      <c r="N1" s="875"/>
      <c r="O1" s="875"/>
      <c r="P1" s="875"/>
    </row>
    <row r="2" spans="1:16" s="59" customFormat="1" ht="15.75">
      <c r="A2" s="899" t="s">
        <v>135</v>
      </c>
      <c r="B2" s="899"/>
      <c r="C2" s="899"/>
      <c r="D2" s="899"/>
      <c r="E2" s="899"/>
      <c r="F2" s="899"/>
      <c r="G2" s="899"/>
      <c r="H2" s="899"/>
      <c r="I2" s="899"/>
      <c r="J2" s="899"/>
      <c r="K2" s="899"/>
      <c r="L2" s="899"/>
      <c r="M2" s="899"/>
      <c r="N2" s="899"/>
      <c r="O2" s="899"/>
      <c r="P2" s="899"/>
    </row>
    <row r="3" spans="1:16" s="59" customFormat="1" ht="15.75">
      <c r="A3" s="876" t="s">
        <v>10</v>
      </c>
      <c r="B3" s="876"/>
      <c r="C3" s="859" t="s">
        <v>117</v>
      </c>
      <c r="D3" s="859"/>
      <c r="E3" s="859"/>
      <c r="F3" s="859"/>
      <c r="G3" s="859"/>
      <c r="H3" s="859"/>
      <c r="I3" s="859"/>
      <c r="J3" s="859"/>
      <c r="K3" s="859"/>
      <c r="L3" s="859"/>
      <c r="M3" s="859"/>
      <c r="N3" s="859"/>
      <c r="O3" s="859"/>
      <c r="P3" s="859"/>
    </row>
    <row r="4" spans="1:16" s="59" customFormat="1" ht="15.75">
      <c r="A4" s="876" t="s">
        <v>11</v>
      </c>
      <c r="B4" s="876"/>
      <c r="C4" s="859" t="s">
        <v>118</v>
      </c>
      <c r="D4" s="859"/>
      <c r="E4" s="859"/>
      <c r="F4" s="859"/>
      <c r="G4" s="859"/>
      <c r="H4" s="859"/>
      <c r="I4" s="859"/>
      <c r="J4" s="859"/>
      <c r="K4" s="859"/>
      <c r="L4" s="859"/>
      <c r="M4" s="859"/>
      <c r="N4" s="859"/>
      <c r="O4" s="859"/>
      <c r="P4" s="859"/>
    </row>
    <row r="5" spans="1:16" s="59" customFormat="1" ht="15.75">
      <c r="A5" s="876" t="s">
        <v>12</v>
      </c>
      <c r="B5" s="876"/>
      <c r="C5" s="859" t="s">
        <v>50</v>
      </c>
      <c r="D5" s="859"/>
      <c r="E5" s="859"/>
      <c r="F5" s="859"/>
      <c r="G5" s="859"/>
      <c r="H5" s="859"/>
      <c r="I5" s="859"/>
      <c r="J5" s="859"/>
      <c r="K5" s="859"/>
      <c r="L5" s="859"/>
      <c r="M5" s="859"/>
      <c r="N5" s="859"/>
      <c r="O5" s="859"/>
      <c r="P5" s="859"/>
    </row>
    <row r="6" spans="1:16" s="59" customFormat="1" ht="15.75">
      <c r="A6" s="876" t="s">
        <v>30</v>
      </c>
      <c r="B6" s="876"/>
      <c r="C6" s="874"/>
      <c r="D6" s="874"/>
      <c r="E6" s="874"/>
      <c r="F6" s="874"/>
      <c r="G6" s="874"/>
      <c r="H6" s="874"/>
      <c r="I6" s="874"/>
      <c r="J6" s="874"/>
      <c r="K6" s="874"/>
      <c r="L6" s="874"/>
      <c r="M6" s="874"/>
      <c r="N6" s="874"/>
      <c r="O6" s="874"/>
      <c r="P6" s="874"/>
    </row>
    <row r="7" spans="1:16" s="59" customFormat="1" ht="15.75">
      <c r="A7" s="876" t="s">
        <v>54</v>
      </c>
      <c r="B7" s="876"/>
      <c r="C7" s="873"/>
      <c r="D7" s="873"/>
      <c r="E7" s="873"/>
      <c r="F7" s="873"/>
      <c r="G7" s="873"/>
      <c r="H7" s="873"/>
      <c r="I7" s="873"/>
      <c r="J7" s="873"/>
      <c r="K7" s="873"/>
      <c r="L7" s="873"/>
      <c r="M7" s="873"/>
      <c r="N7" s="873"/>
      <c r="O7" s="873"/>
      <c r="P7" s="873"/>
    </row>
    <row r="8" spans="1:16" s="59" customFormat="1" ht="15.75">
      <c r="A8" s="82"/>
      <c r="B8" s="82"/>
      <c r="C8" s="73"/>
      <c r="D8" s="73"/>
      <c r="E8" s="104"/>
      <c r="F8" s="73"/>
      <c r="G8" s="73"/>
      <c r="H8" s="73"/>
      <c r="I8" s="73"/>
      <c r="J8" s="73"/>
      <c r="K8" s="73"/>
      <c r="L8" s="66"/>
      <c r="M8" s="66"/>
      <c r="N8" s="74"/>
      <c r="O8" s="63" t="s">
        <v>52</v>
      </c>
      <c r="P8" s="75">
        <f>P78</f>
        <v>0</v>
      </c>
    </row>
    <row r="9" spans="1:16">
      <c r="C9" s="60"/>
    </row>
    <row r="10" spans="1:16" ht="14.25" customHeight="1">
      <c r="A10" s="893" t="s">
        <v>14</v>
      </c>
      <c r="B10" s="894" t="s">
        <v>21</v>
      </c>
      <c r="C10" s="896" t="s">
        <v>22</v>
      </c>
      <c r="D10" s="897" t="s">
        <v>23</v>
      </c>
      <c r="E10" s="898" t="s">
        <v>24</v>
      </c>
      <c r="F10" s="892" t="s">
        <v>25</v>
      </c>
      <c r="G10" s="892"/>
      <c r="H10" s="892"/>
      <c r="I10" s="892"/>
      <c r="J10" s="892"/>
      <c r="K10" s="892"/>
      <c r="L10" s="892" t="s">
        <v>26</v>
      </c>
      <c r="M10" s="892"/>
      <c r="N10" s="892"/>
      <c r="O10" s="892"/>
      <c r="P10" s="892"/>
    </row>
    <row r="11" spans="1:16" ht="73.5" customHeight="1">
      <c r="A11" s="893"/>
      <c r="B11" s="895"/>
      <c r="C11" s="896"/>
      <c r="D11" s="897"/>
      <c r="E11" s="898"/>
      <c r="F11" s="309" t="s">
        <v>27</v>
      </c>
      <c r="G11" s="309" t="s">
        <v>37</v>
      </c>
      <c r="H11" s="309" t="s">
        <v>38</v>
      </c>
      <c r="I11" s="309" t="s">
        <v>39</v>
      </c>
      <c r="J11" s="309" t="s">
        <v>40</v>
      </c>
      <c r="K11" s="309" t="s">
        <v>41</v>
      </c>
      <c r="L11" s="309" t="s">
        <v>18</v>
      </c>
      <c r="M11" s="309" t="s">
        <v>38</v>
      </c>
      <c r="N11" s="309" t="s">
        <v>39</v>
      </c>
      <c r="O11" s="309" t="s">
        <v>40</v>
      </c>
      <c r="P11" s="309" t="s">
        <v>42</v>
      </c>
    </row>
    <row r="12" spans="1:16">
      <c r="A12" s="115">
        <v>1</v>
      </c>
      <c r="B12" s="115">
        <v>2</v>
      </c>
      <c r="C12" s="115">
        <v>3</v>
      </c>
      <c r="D12" s="115">
        <v>4</v>
      </c>
      <c r="E12" s="622">
        <v>5</v>
      </c>
      <c r="F12" s="115">
        <v>6</v>
      </c>
      <c r="G12" s="115">
        <v>7</v>
      </c>
      <c r="H12" s="115">
        <v>8</v>
      </c>
      <c r="I12" s="115">
        <v>9</v>
      </c>
      <c r="J12" s="115">
        <v>10</v>
      </c>
      <c r="K12" s="115">
        <v>11</v>
      </c>
      <c r="L12" s="115">
        <v>12</v>
      </c>
      <c r="M12" s="115">
        <v>13</v>
      </c>
      <c r="N12" s="115">
        <v>14</v>
      </c>
      <c r="O12" s="115">
        <v>15</v>
      </c>
      <c r="P12" s="115">
        <v>16</v>
      </c>
    </row>
    <row r="13" spans="1:16" s="1" customFormat="1">
      <c r="A13" s="370"/>
      <c r="B13" s="370"/>
      <c r="C13" s="358" t="s">
        <v>135</v>
      </c>
      <c r="D13" s="446"/>
      <c r="E13" s="470"/>
      <c r="F13" s="135"/>
      <c r="G13" s="135"/>
      <c r="H13" s="135"/>
      <c r="I13" s="135"/>
      <c r="J13" s="135"/>
      <c r="K13" s="135"/>
      <c r="L13" s="135"/>
      <c r="M13" s="136"/>
      <c r="N13" s="136"/>
      <c r="O13" s="136"/>
      <c r="P13" s="136"/>
    </row>
    <row r="14" spans="1:16" s="1" customFormat="1">
      <c r="A14" s="370"/>
      <c r="B14" s="460"/>
      <c r="C14" s="447" t="s">
        <v>381</v>
      </c>
      <c r="D14" s="448"/>
      <c r="E14" s="471"/>
      <c r="F14" s="135"/>
      <c r="G14" s="135"/>
      <c r="H14" s="135"/>
      <c r="I14" s="135"/>
      <c r="J14" s="135"/>
      <c r="K14" s="135"/>
      <c r="L14" s="135"/>
      <c r="M14" s="136"/>
      <c r="N14" s="136"/>
      <c r="O14" s="136"/>
      <c r="P14" s="136"/>
    </row>
    <row r="15" spans="1:16" s="1" customFormat="1" ht="36">
      <c r="A15" s="449">
        <v>1</v>
      </c>
      <c r="B15" s="459" t="s">
        <v>149</v>
      </c>
      <c r="C15" s="450" t="s">
        <v>382</v>
      </c>
      <c r="D15" s="451" t="s">
        <v>82</v>
      </c>
      <c r="E15" s="472">
        <v>431.7</v>
      </c>
      <c r="F15" s="153"/>
      <c r="G15" s="153"/>
      <c r="H15" s="153"/>
      <c r="I15" s="153"/>
      <c r="J15" s="153"/>
      <c r="K15" s="153"/>
      <c r="L15" s="153"/>
      <c r="M15" s="208"/>
      <c r="N15" s="208"/>
      <c r="O15" s="208"/>
      <c r="P15" s="208"/>
    </row>
    <row r="16" spans="1:16" s="1" customFormat="1">
      <c r="A16" s="370"/>
      <c r="B16" s="460"/>
      <c r="C16" s="447" t="s">
        <v>383</v>
      </c>
      <c r="D16" s="448"/>
      <c r="E16" s="471"/>
      <c r="F16" s="135"/>
      <c r="G16" s="135"/>
      <c r="H16" s="135"/>
      <c r="I16" s="135"/>
      <c r="J16" s="135"/>
      <c r="K16" s="135"/>
      <c r="L16" s="135"/>
      <c r="M16" s="136"/>
      <c r="N16" s="136"/>
      <c r="O16" s="136"/>
      <c r="P16" s="136"/>
    </row>
    <row r="17" spans="1:16" s="1" customFormat="1" ht="48">
      <c r="A17" s="344">
        <f>A15+1</f>
        <v>2</v>
      </c>
      <c r="B17" s="461" t="s">
        <v>149</v>
      </c>
      <c r="C17" s="452" t="s">
        <v>384</v>
      </c>
      <c r="D17" s="453" t="s">
        <v>82</v>
      </c>
      <c r="E17" s="473">
        <v>14.9</v>
      </c>
      <c r="F17" s="153"/>
      <c r="G17" s="153"/>
      <c r="H17" s="153"/>
      <c r="I17" s="153"/>
      <c r="J17" s="153"/>
      <c r="K17" s="153"/>
      <c r="L17" s="153"/>
      <c r="M17" s="208"/>
      <c r="N17" s="208"/>
      <c r="O17" s="208"/>
      <c r="P17" s="208"/>
    </row>
    <row r="18" spans="1:16" s="1" customFormat="1">
      <c r="A18" s="370"/>
      <c r="B18" s="460"/>
      <c r="C18" s="447" t="s">
        <v>385</v>
      </c>
      <c r="D18" s="448"/>
      <c r="E18" s="471"/>
      <c r="F18" s="135"/>
      <c r="G18" s="135"/>
      <c r="H18" s="135"/>
      <c r="I18" s="135"/>
      <c r="J18" s="135"/>
      <c r="K18" s="135"/>
      <c r="L18" s="135"/>
      <c r="M18" s="136"/>
      <c r="N18" s="136"/>
      <c r="O18" s="136"/>
      <c r="P18" s="136"/>
    </row>
    <row r="19" spans="1:16" s="1" customFormat="1" ht="48">
      <c r="A19" s="366">
        <f>A17+1</f>
        <v>3</v>
      </c>
      <c r="B19" s="366" t="s">
        <v>149</v>
      </c>
      <c r="C19" s="436" t="s">
        <v>386</v>
      </c>
      <c r="D19" s="454" t="s">
        <v>82</v>
      </c>
      <c r="E19" s="474">
        <f>179.13</f>
        <v>179.13</v>
      </c>
      <c r="F19" s="153"/>
      <c r="G19" s="153"/>
      <c r="H19" s="153"/>
      <c r="I19" s="153"/>
      <c r="J19" s="153"/>
      <c r="K19" s="153"/>
      <c r="L19" s="153"/>
      <c r="M19" s="208"/>
      <c r="N19" s="208"/>
      <c r="O19" s="208"/>
      <c r="P19" s="208"/>
    </row>
    <row r="20" spans="1:16" s="1" customFormat="1">
      <c r="A20" s="370"/>
      <c r="B20" s="460"/>
      <c r="C20" s="447" t="s">
        <v>387</v>
      </c>
      <c r="D20" s="448"/>
      <c r="E20" s="471"/>
      <c r="F20" s="135"/>
      <c r="G20" s="135"/>
      <c r="H20" s="135"/>
      <c r="I20" s="135"/>
      <c r="J20" s="135"/>
      <c r="K20" s="135"/>
      <c r="L20" s="135"/>
      <c r="M20" s="136"/>
      <c r="N20" s="136"/>
      <c r="O20" s="136"/>
      <c r="P20" s="136"/>
    </row>
    <row r="21" spans="1:16" s="1" customFormat="1" ht="48">
      <c r="A21" s="449">
        <f>A19+1</f>
        <v>4</v>
      </c>
      <c r="B21" s="449" t="s">
        <v>149</v>
      </c>
      <c r="C21" s="450" t="s">
        <v>388</v>
      </c>
      <c r="D21" s="451" t="s">
        <v>82</v>
      </c>
      <c r="E21" s="472">
        <f>53.42</f>
        <v>53.42</v>
      </c>
      <c r="F21" s="153"/>
      <c r="G21" s="153"/>
      <c r="H21" s="153"/>
      <c r="I21" s="153"/>
      <c r="J21" s="153"/>
      <c r="K21" s="153"/>
      <c r="L21" s="153"/>
      <c r="M21" s="208"/>
      <c r="N21" s="208"/>
      <c r="O21" s="208"/>
      <c r="P21" s="208"/>
    </row>
    <row r="22" spans="1:16" s="1" customFormat="1">
      <c r="A22" s="370"/>
      <c r="B22" s="460"/>
      <c r="C22" s="447" t="s">
        <v>389</v>
      </c>
      <c r="D22" s="448"/>
      <c r="E22" s="471"/>
      <c r="F22" s="135"/>
      <c r="G22" s="135"/>
      <c r="H22" s="135"/>
      <c r="I22" s="135"/>
      <c r="J22" s="135"/>
      <c r="K22" s="135"/>
      <c r="L22" s="135"/>
      <c r="M22" s="136"/>
      <c r="N22" s="136"/>
      <c r="O22" s="136"/>
      <c r="P22" s="136"/>
    </row>
    <row r="23" spans="1:16" s="1" customFormat="1" ht="24">
      <c r="A23" s="449">
        <f>A21+1</f>
        <v>5</v>
      </c>
      <c r="B23" s="449" t="s">
        <v>149</v>
      </c>
      <c r="C23" s="450" t="s">
        <v>390</v>
      </c>
      <c r="D23" s="451" t="s">
        <v>82</v>
      </c>
      <c r="E23" s="472">
        <f>278.48</f>
        <v>278.48</v>
      </c>
      <c r="F23" s="153"/>
      <c r="G23" s="153"/>
      <c r="H23" s="153"/>
      <c r="I23" s="153"/>
      <c r="J23" s="153"/>
      <c r="K23" s="153"/>
      <c r="L23" s="153"/>
      <c r="M23" s="208"/>
      <c r="N23" s="208"/>
      <c r="O23" s="208"/>
      <c r="P23" s="208"/>
    </row>
    <row r="24" spans="1:16" s="1" customFormat="1">
      <c r="A24" s="370"/>
      <c r="B24" s="460"/>
      <c r="C24" s="447" t="s">
        <v>391</v>
      </c>
      <c r="D24" s="448"/>
      <c r="E24" s="471"/>
      <c r="F24" s="135"/>
      <c r="G24" s="135"/>
      <c r="H24" s="135"/>
      <c r="I24" s="135"/>
      <c r="J24" s="135"/>
      <c r="K24" s="135"/>
      <c r="L24" s="135"/>
      <c r="M24" s="136"/>
      <c r="N24" s="136"/>
      <c r="O24" s="136"/>
      <c r="P24" s="136"/>
    </row>
    <row r="25" spans="1:16" s="1" customFormat="1" ht="48">
      <c r="A25" s="449">
        <f>A23+1</f>
        <v>6</v>
      </c>
      <c r="B25" s="449" t="s">
        <v>149</v>
      </c>
      <c r="C25" s="450" t="s">
        <v>392</v>
      </c>
      <c r="D25" s="451" t="s">
        <v>82</v>
      </c>
      <c r="E25" s="472">
        <f>6.3</f>
        <v>6.3</v>
      </c>
      <c r="F25" s="153"/>
      <c r="G25" s="153"/>
      <c r="H25" s="153"/>
      <c r="I25" s="153"/>
      <c r="J25" s="153"/>
      <c r="K25" s="153"/>
      <c r="L25" s="153"/>
      <c r="M25" s="208"/>
      <c r="N25" s="208"/>
      <c r="O25" s="208"/>
      <c r="P25" s="208"/>
    </row>
    <row r="26" spans="1:16" s="1" customFormat="1">
      <c r="A26" s="370"/>
      <c r="B26" s="460"/>
      <c r="C26" s="447" t="s">
        <v>393</v>
      </c>
      <c r="D26" s="448"/>
      <c r="E26" s="471"/>
      <c r="F26" s="135"/>
      <c r="G26" s="135"/>
      <c r="H26" s="135"/>
      <c r="I26" s="135"/>
      <c r="J26" s="135"/>
      <c r="K26" s="135"/>
      <c r="L26" s="135"/>
      <c r="M26" s="136"/>
      <c r="N26" s="136"/>
      <c r="O26" s="136"/>
      <c r="P26" s="136"/>
    </row>
    <row r="27" spans="1:16" s="1" customFormat="1" ht="48">
      <c r="A27" s="449">
        <f>A25+1</f>
        <v>7</v>
      </c>
      <c r="B27" s="449" t="s">
        <v>149</v>
      </c>
      <c r="C27" s="450" t="s">
        <v>394</v>
      </c>
      <c r="D27" s="451" t="s">
        <v>82</v>
      </c>
      <c r="E27" s="472">
        <f>93.29</f>
        <v>93.29</v>
      </c>
      <c r="F27" s="153"/>
      <c r="G27" s="153"/>
      <c r="H27" s="153"/>
      <c r="I27" s="153"/>
      <c r="J27" s="153"/>
      <c r="K27" s="153"/>
      <c r="L27" s="153"/>
      <c r="M27" s="208"/>
      <c r="N27" s="208"/>
      <c r="O27" s="208"/>
      <c r="P27" s="208"/>
    </row>
    <row r="28" spans="1:16" s="1" customFormat="1">
      <c r="A28" s="370"/>
      <c r="B28" s="460"/>
      <c r="C28" s="447" t="s">
        <v>395</v>
      </c>
      <c r="D28" s="448"/>
      <c r="E28" s="471"/>
      <c r="F28" s="135"/>
      <c r="G28" s="135"/>
      <c r="H28" s="135"/>
      <c r="I28" s="135"/>
      <c r="J28" s="135"/>
      <c r="K28" s="135"/>
      <c r="L28" s="135"/>
      <c r="M28" s="136"/>
      <c r="N28" s="136"/>
      <c r="O28" s="136"/>
      <c r="P28" s="136"/>
    </row>
    <row r="29" spans="1:16" s="1" customFormat="1" ht="48">
      <c r="A29" s="449">
        <f>A27+1</f>
        <v>8</v>
      </c>
      <c r="B29" s="449" t="s">
        <v>149</v>
      </c>
      <c r="C29" s="450" t="s">
        <v>396</v>
      </c>
      <c r="D29" s="451" t="s">
        <v>82</v>
      </c>
      <c r="E29" s="472">
        <f>5.87</f>
        <v>5.87</v>
      </c>
      <c r="F29" s="153"/>
      <c r="G29" s="153"/>
      <c r="H29" s="153"/>
      <c r="I29" s="153"/>
      <c r="J29" s="153"/>
      <c r="K29" s="153"/>
      <c r="L29" s="153"/>
      <c r="M29" s="208"/>
      <c r="N29" s="208"/>
      <c r="O29" s="208"/>
      <c r="P29" s="208"/>
    </row>
    <row r="30" spans="1:16" s="1" customFormat="1">
      <c r="A30" s="370"/>
      <c r="B30" s="460"/>
      <c r="C30" s="447" t="s">
        <v>397</v>
      </c>
      <c r="D30" s="448"/>
      <c r="E30" s="471"/>
      <c r="F30" s="135"/>
      <c r="G30" s="135"/>
      <c r="H30" s="135"/>
      <c r="I30" s="135"/>
      <c r="J30" s="135"/>
      <c r="K30" s="135"/>
      <c r="L30" s="135"/>
      <c r="M30" s="136"/>
      <c r="N30" s="136"/>
      <c r="O30" s="136"/>
      <c r="P30" s="136"/>
    </row>
    <row r="31" spans="1:16" s="1" customFormat="1" ht="24">
      <c r="A31" s="455">
        <f>A29+1</f>
        <v>9</v>
      </c>
      <c r="B31" s="462" t="s">
        <v>149</v>
      </c>
      <c r="C31" s="456" t="s">
        <v>398</v>
      </c>
      <c r="D31" s="457" t="s">
        <v>82</v>
      </c>
      <c r="E31" s="475">
        <f>73.18</f>
        <v>73.180000000000007</v>
      </c>
      <c r="F31" s="146"/>
      <c r="G31" s="146"/>
      <c r="H31" s="146"/>
      <c r="I31" s="146"/>
      <c r="J31" s="146"/>
      <c r="K31" s="146"/>
      <c r="L31" s="146"/>
      <c r="M31" s="205"/>
      <c r="N31" s="205"/>
      <c r="O31" s="205"/>
      <c r="P31" s="205"/>
    </row>
    <row r="32" spans="1:16" s="1" customFormat="1">
      <c r="A32" s="366">
        <f>A31+1</f>
        <v>10</v>
      </c>
      <c r="B32" s="463" t="s">
        <v>149</v>
      </c>
      <c r="C32" s="436" t="s">
        <v>399</v>
      </c>
      <c r="D32" s="454" t="s">
        <v>82</v>
      </c>
      <c r="E32" s="474">
        <f>E31*2</f>
        <v>146.36000000000001</v>
      </c>
      <c r="F32" s="153"/>
      <c r="G32" s="153"/>
      <c r="H32" s="153"/>
      <c r="I32" s="153"/>
      <c r="J32" s="153"/>
      <c r="K32" s="153"/>
      <c r="L32" s="153"/>
      <c r="M32" s="208"/>
      <c r="N32" s="208"/>
      <c r="O32" s="208"/>
      <c r="P32" s="208"/>
    </row>
    <row r="33" spans="1:16" s="1" customFormat="1">
      <c r="A33" s="370"/>
      <c r="B33" s="460"/>
      <c r="C33" s="447" t="s">
        <v>400</v>
      </c>
      <c r="D33" s="448"/>
      <c r="E33" s="471"/>
      <c r="F33" s="135"/>
      <c r="G33" s="135"/>
      <c r="H33" s="135"/>
      <c r="I33" s="135"/>
      <c r="J33" s="135"/>
      <c r="K33" s="135"/>
      <c r="L33" s="135"/>
      <c r="M33" s="136"/>
      <c r="N33" s="136"/>
      <c r="O33" s="136"/>
      <c r="P33" s="136"/>
    </row>
    <row r="34" spans="1:16" s="1" customFormat="1" ht="24">
      <c r="A34" s="455">
        <f>A32+1</f>
        <v>11</v>
      </c>
      <c r="B34" s="462" t="s">
        <v>149</v>
      </c>
      <c r="C34" s="456" t="s">
        <v>401</v>
      </c>
      <c r="D34" s="457" t="s">
        <v>82</v>
      </c>
      <c r="E34" s="475">
        <f>77.78</f>
        <v>77.78</v>
      </c>
      <c r="F34" s="146"/>
      <c r="G34" s="146"/>
      <c r="H34" s="146"/>
      <c r="I34" s="146"/>
      <c r="J34" s="146"/>
      <c r="K34" s="146"/>
      <c r="L34" s="146"/>
      <c r="M34" s="205"/>
      <c r="N34" s="205"/>
      <c r="O34" s="205"/>
      <c r="P34" s="205"/>
    </row>
    <row r="35" spans="1:16" s="1" customFormat="1">
      <c r="A35" s="366">
        <f>A34+1</f>
        <v>12</v>
      </c>
      <c r="B35" s="463" t="s">
        <v>149</v>
      </c>
      <c r="C35" s="436" t="s">
        <v>402</v>
      </c>
      <c r="D35" s="454" t="s">
        <v>82</v>
      </c>
      <c r="E35" s="474">
        <f>E34*2</f>
        <v>155.56</v>
      </c>
      <c r="F35" s="153"/>
      <c r="G35" s="153"/>
      <c r="H35" s="153"/>
      <c r="I35" s="153"/>
      <c r="J35" s="153"/>
      <c r="K35" s="153"/>
      <c r="L35" s="153"/>
      <c r="M35" s="208"/>
      <c r="N35" s="208"/>
      <c r="O35" s="208"/>
      <c r="P35" s="208"/>
    </row>
    <row r="36" spans="1:16" s="1" customFormat="1">
      <c r="A36" s="370"/>
      <c r="B36" s="460"/>
      <c r="C36" s="447" t="s">
        <v>403</v>
      </c>
      <c r="D36" s="448"/>
      <c r="E36" s="471"/>
      <c r="F36" s="135"/>
      <c r="G36" s="135"/>
      <c r="H36" s="135"/>
      <c r="I36" s="135"/>
      <c r="J36" s="135"/>
      <c r="K36" s="135"/>
      <c r="L36" s="135"/>
      <c r="M36" s="136"/>
      <c r="N36" s="136"/>
      <c r="O36" s="136"/>
      <c r="P36" s="136"/>
    </row>
    <row r="37" spans="1:16" s="1" customFormat="1" ht="24">
      <c r="A37" s="344">
        <f>A35+1</f>
        <v>13</v>
      </c>
      <c r="B37" s="461" t="s">
        <v>149</v>
      </c>
      <c r="C37" s="452" t="s">
        <v>401</v>
      </c>
      <c r="D37" s="453" t="s">
        <v>82</v>
      </c>
      <c r="E37" s="473">
        <f>27.36</f>
        <v>27.36</v>
      </c>
      <c r="F37" s="146"/>
      <c r="G37" s="146"/>
      <c r="H37" s="146"/>
      <c r="I37" s="146"/>
      <c r="J37" s="146"/>
      <c r="K37" s="146"/>
      <c r="L37" s="146"/>
      <c r="M37" s="205"/>
      <c r="N37" s="205"/>
      <c r="O37" s="205"/>
      <c r="P37" s="205"/>
    </row>
    <row r="38" spans="1:16" s="1" customFormat="1">
      <c r="A38" s="348">
        <f>A37+1</f>
        <v>14</v>
      </c>
      <c r="B38" s="464" t="s">
        <v>149</v>
      </c>
      <c r="C38" s="377" t="s">
        <v>404</v>
      </c>
      <c r="D38" s="458" t="s">
        <v>82</v>
      </c>
      <c r="E38" s="476">
        <f>E37*2</f>
        <v>54.72</v>
      </c>
      <c r="F38" s="146"/>
      <c r="G38" s="146"/>
      <c r="H38" s="146"/>
      <c r="I38" s="146"/>
      <c r="J38" s="146"/>
      <c r="K38" s="146"/>
      <c r="L38" s="146"/>
      <c r="M38" s="205"/>
      <c r="N38" s="205"/>
      <c r="O38" s="205"/>
      <c r="P38" s="205"/>
    </row>
    <row r="39" spans="1:16" s="1" customFormat="1" ht="24">
      <c r="A39" s="366">
        <f>A37+1</f>
        <v>14</v>
      </c>
      <c r="B39" s="463" t="s">
        <v>149</v>
      </c>
      <c r="C39" s="436" t="s">
        <v>405</v>
      </c>
      <c r="D39" s="454" t="s">
        <v>82</v>
      </c>
      <c r="E39" s="474">
        <f>E37</f>
        <v>27.36</v>
      </c>
      <c r="F39" s="153"/>
      <c r="G39" s="153"/>
      <c r="H39" s="153"/>
      <c r="I39" s="153"/>
      <c r="J39" s="153"/>
      <c r="K39" s="153"/>
      <c r="L39" s="153"/>
      <c r="M39" s="208"/>
      <c r="N39" s="208"/>
      <c r="O39" s="208"/>
      <c r="P39" s="208"/>
    </row>
    <row r="40" spans="1:16" s="1" customFormat="1">
      <c r="A40" s="370"/>
      <c r="B40" s="460"/>
      <c r="C40" s="447" t="s">
        <v>406</v>
      </c>
      <c r="D40" s="448"/>
      <c r="E40" s="471"/>
      <c r="F40" s="135"/>
      <c r="G40" s="135"/>
      <c r="H40" s="135"/>
      <c r="I40" s="135"/>
      <c r="J40" s="135"/>
      <c r="K40" s="135"/>
      <c r="L40" s="135"/>
      <c r="M40" s="136"/>
      <c r="N40" s="136"/>
      <c r="O40" s="136"/>
      <c r="P40" s="136"/>
    </row>
    <row r="41" spans="1:16" s="1" customFormat="1" ht="24">
      <c r="A41" s="455">
        <f>A39+1</f>
        <v>15</v>
      </c>
      <c r="B41" s="462" t="s">
        <v>149</v>
      </c>
      <c r="C41" s="456" t="s">
        <v>407</v>
      </c>
      <c r="D41" s="457" t="s">
        <v>82</v>
      </c>
      <c r="E41" s="475">
        <f>1006.14</f>
        <v>1006.14</v>
      </c>
      <c r="F41" s="146"/>
      <c r="G41" s="146"/>
      <c r="H41" s="146"/>
      <c r="I41" s="146"/>
      <c r="J41" s="146"/>
      <c r="K41" s="146"/>
      <c r="L41" s="146"/>
      <c r="M41" s="205"/>
      <c r="N41" s="205"/>
      <c r="O41" s="205"/>
      <c r="P41" s="205"/>
    </row>
    <row r="42" spans="1:16" s="1" customFormat="1">
      <c r="A42" s="366">
        <f>A41+1</f>
        <v>16</v>
      </c>
      <c r="B42" s="463" t="s">
        <v>149</v>
      </c>
      <c r="C42" s="436" t="s">
        <v>408</v>
      </c>
      <c r="D42" s="454" t="s">
        <v>82</v>
      </c>
      <c r="E42" s="474">
        <f>1006.14</f>
        <v>1006.14</v>
      </c>
      <c r="F42" s="153"/>
      <c r="G42" s="153"/>
      <c r="H42" s="153"/>
      <c r="I42" s="153"/>
      <c r="J42" s="153"/>
      <c r="K42" s="153"/>
      <c r="L42" s="153"/>
      <c r="M42" s="208"/>
      <c r="N42" s="208"/>
      <c r="O42" s="208"/>
      <c r="P42" s="208"/>
    </row>
    <row r="43" spans="1:16" s="1" customFormat="1">
      <c r="A43" s="370"/>
      <c r="B43" s="460"/>
      <c r="C43" s="447" t="s">
        <v>362</v>
      </c>
      <c r="D43" s="448"/>
      <c r="E43" s="471"/>
      <c r="F43" s="135"/>
      <c r="G43" s="135"/>
      <c r="H43" s="135"/>
      <c r="I43" s="135"/>
      <c r="J43" s="135"/>
      <c r="K43" s="135"/>
      <c r="L43" s="135"/>
      <c r="M43" s="136"/>
      <c r="N43" s="136"/>
      <c r="O43" s="136"/>
      <c r="P43" s="136"/>
    </row>
    <row r="44" spans="1:16" s="1" customFormat="1" ht="24">
      <c r="A44" s="455">
        <f>A42+1</f>
        <v>17</v>
      </c>
      <c r="B44" s="462" t="s">
        <v>149</v>
      </c>
      <c r="C44" s="456" t="s">
        <v>401</v>
      </c>
      <c r="D44" s="457" t="s">
        <v>82</v>
      </c>
      <c r="E44" s="475">
        <f>183.09</f>
        <v>183.09</v>
      </c>
      <c r="F44" s="206"/>
      <c r="G44" s="206"/>
      <c r="H44" s="206"/>
      <c r="I44" s="206"/>
      <c r="J44" s="206"/>
      <c r="K44" s="206"/>
      <c r="L44" s="206"/>
      <c r="M44" s="465"/>
      <c r="N44" s="465"/>
      <c r="O44" s="465"/>
      <c r="P44" s="465"/>
    </row>
    <row r="45" spans="1:16" s="1" customFormat="1">
      <c r="A45" s="466">
        <f>A44+1</f>
        <v>18</v>
      </c>
      <c r="B45" s="467" t="s">
        <v>149</v>
      </c>
      <c r="C45" s="468" t="s">
        <v>409</v>
      </c>
      <c r="D45" s="469" t="s">
        <v>82</v>
      </c>
      <c r="E45" s="477">
        <f>E44*2</f>
        <v>366.18</v>
      </c>
      <c r="F45" s="443"/>
      <c r="G45" s="443"/>
      <c r="H45" s="443"/>
      <c r="I45" s="443"/>
      <c r="J45" s="443"/>
      <c r="K45" s="443"/>
      <c r="L45" s="443"/>
      <c r="M45" s="444"/>
      <c r="N45" s="444"/>
      <c r="O45" s="444"/>
      <c r="P45" s="444"/>
    </row>
    <row r="46" spans="1:16" s="1" customFormat="1">
      <c r="A46" s="370"/>
      <c r="B46" s="460"/>
      <c r="C46" s="447" t="s">
        <v>366</v>
      </c>
      <c r="D46" s="448"/>
      <c r="E46" s="471"/>
      <c r="F46" s="135"/>
      <c r="G46" s="135"/>
      <c r="H46" s="135"/>
      <c r="I46" s="135"/>
      <c r="J46" s="135"/>
      <c r="K46" s="135"/>
      <c r="L46" s="135"/>
      <c r="M46" s="136"/>
      <c r="N46" s="136"/>
      <c r="O46" s="136"/>
      <c r="P46" s="136"/>
    </row>
    <row r="47" spans="1:16" s="1" customFormat="1" ht="24">
      <c r="A47" s="455">
        <f>A45+1</f>
        <v>19</v>
      </c>
      <c r="B47" s="462" t="s">
        <v>149</v>
      </c>
      <c r="C47" s="456" t="s">
        <v>401</v>
      </c>
      <c r="D47" s="457" t="s">
        <v>82</v>
      </c>
      <c r="E47" s="475">
        <f>24.9</f>
        <v>24.9</v>
      </c>
      <c r="F47" s="146"/>
      <c r="G47" s="146"/>
      <c r="H47" s="146"/>
      <c r="I47" s="146"/>
      <c r="J47" s="146"/>
      <c r="K47" s="146"/>
      <c r="L47" s="146"/>
      <c r="M47" s="205"/>
      <c r="N47" s="205"/>
      <c r="O47" s="205"/>
      <c r="P47" s="205"/>
    </row>
    <row r="48" spans="1:16" s="1" customFormat="1">
      <c r="A48" s="366">
        <f>A47+1</f>
        <v>20</v>
      </c>
      <c r="B48" s="463" t="s">
        <v>149</v>
      </c>
      <c r="C48" s="436" t="s">
        <v>410</v>
      </c>
      <c r="D48" s="454" t="s">
        <v>82</v>
      </c>
      <c r="E48" s="474">
        <f>E47*2</f>
        <v>49.8</v>
      </c>
      <c r="F48" s="153"/>
      <c r="G48" s="153"/>
      <c r="H48" s="153"/>
      <c r="I48" s="153"/>
      <c r="J48" s="153"/>
      <c r="K48" s="153"/>
      <c r="L48" s="153"/>
      <c r="M48" s="208"/>
      <c r="N48" s="208"/>
      <c r="O48" s="208"/>
      <c r="P48" s="208"/>
    </row>
    <row r="49" spans="1:16" s="1" customFormat="1">
      <c r="A49" s="370"/>
      <c r="B49" s="460"/>
      <c r="C49" s="447" t="s">
        <v>368</v>
      </c>
      <c r="D49" s="448"/>
      <c r="E49" s="471"/>
      <c r="F49" s="135"/>
      <c r="G49" s="135"/>
      <c r="H49" s="135"/>
      <c r="I49" s="135"/>
      <c r="J49" s="135"/>
      <c r="K49" s="135"/>
      <c r="L49" s="135"/>
      <c r="M49" s="136"/>
      <c r="N49" s="136"/>
      <c r="O49" s="136"/>
      <c r="P49" s="136"/>
    </row>
    <row r="50" spans="1:16" s="1" customFormat="1" ht="24">
      <c r="A50" s="455">
        <f>A48+1</f>
        <v>21</v>
      </c>
      <c r="B50" s="462" t="s">
        <v>149</v>
      </c>
      <c r="C50" s="456" t="s">
        <v>401</v>
      </c>
      <c r="D50" s="457" t="s">
        <v>82</v>
      </c>
      <c r="E50" s="475">
        <f>47.51</f>
        <v>47.51</v>
      </c>
      <c r="F50" s="146"/>
      <c r="G50" s="146"/>
      <c r="H50" s="146"/>
      <c r="I50" s="146"/>
      <c r="J50" s="146"/>
      <c r="K50" s="146"/>
      <c r="L50" s="146"/>
      <c r="M50" s="205"/>
      <c r="N50" s="205"/>
      <c r="O50" s="205"/>
      <c r="P50" s="205"/>
    </row>
    <row r="51" spans="1:16" s="1" customFormat="1">
      <c r="A51" s="366">
        <f>A50+1</f>
        <v>22</v>
      </c>
      <c r="B51" s="463" t="s">
        <v>149</v>
      </c>
      <c r="C51" s="436" t="s">
        <v>411</v>
      </c>
      <c r="D51" s="454" t="s">
        <v>82</v>
      </c>
      <c r="E51" s="474">
        <f>E50*2</f>
        <v>95.02</v>
      </c>
      <c r="F51" s="153"/>
      <c r="G51" s="153"/>
      <c r="H51" s="153"/>
      <c r="I51" s="153"/>
      <c r="J51" s="153"/>
      <c r="K51" s="153"/>
      <c r="L51" s="153"/>
      <c r="M51" s="208"/>
      <c r="N51" s="208"/>
      <c r="O51" s="208"/>
      <c r="P51" s="208"/>
    </row>
    <row r="52" spans="1:16" s="1" customFormat="1">
      <c r="A52" s="370"/>
      <c r="B52" s="460"/>
      <c r="C52" s="447" t="s">
        <v>412</v>
      </c>
      <c r="D52" s="448"/>
      <c r="E52" s="471"/>
      <c r="F52" s="135"/>
      <c r="G52" s="135"/>
      <c r="H52" s="135"/>
      <c r="I52" s="135"/>
      <c r="J52" s="135"/>
      <c r="K52" s="135"/>
      <c r="L52" s="135"/>
      <c r="M52" s="136"/>
      <c r="N52" s="136"/>
      <c r="O52" s="136"/>
      <c r="P52" s="136"/>
    </row>
    <row r="53" spans="1:16" s="1" customFormat="1" ht="24">
      <c r="A53" s="455">
        <f>A51+1</f>
        <v>23</v>
      </c>
      <c r="B53" s="462" t="s">
        <v>149</v>
      </c>
      <c r="C53" s="456" t="s">
        <v>413</v>
      </c>
      <c r="D53" s="457" t="s">
        <v>82</v>
      </c>
      <c r="E53" s="475">
        <f>7.96</f>
        <v>7.96</v>
      </c>
      <c r="F53" s="146"/>
      <c r="G53" s="146"/>
      <c r="H53" s="146"/>
      <c r="I53" s="146"/>
      <c r="J53" s="146"/>
      <c r="K53" s="146"/>
      <c r="L53" s="146"/>
      <c r="M53" s="205"/>
      <c r="N53" s="205"/>
      <c r="O53" s="205"/>
      <c r="P53" s="205"/>
    </row>
    <row r="54" spans="1:16" s="1" customFormat="1">
      <c r="A54" s="366">
        <f>A53+1</f>
        <v>24</v>
      </c>
      <c r="B54" s="463" t="s">
        <v>149</v>
      </c>
      <c r="C54" s="436" t="s">
        <v>414</v>
      </c>
      <c r="D54" s="454" t="s">
        <v>82</v>
      </c>
      <c r="E54" s="474">
        <f>E53*2</f>
        <v>15.92</v>
      </c>
      <c r="F54" s="153"/>
      <c r="G54" s="153"/>
      <c r="H54" s="153"/>
      <c r="I54" s="153"/>
      <c r="J54" s="153"/>
      <c r="K54" s="153"/>
      <c r="L54" s="153"/>
      <c r="M54" s="208"/>
      <c r="N54" s="208"/>
      <c r="O54" s="208"/>
      <c r="P54" s="208"/>
    </row>
    <row r="55" spans="1:16" s="1" customFormat="1">
      <c r="A55" s="370"/>
      <c r="B55" s="460"/>
      <c r="C55" s="447" t="s">
        <v>415</v>
      </c>
      <c r="D55" s="448"/>
      <c r="E55" s="471"/>
      <c r="F55" s="135"/>
      <c r="G55" s="135"/>
      <c r="H55" s="135"/>
      <c r="I55" s="135"/>
      <c r="J55" s="135"/>
      <c r="K55" s="135"/>
      <c r="L55" s="135"/>
      <c r="M55" s="136"/>
      <c r="N55" s="136"/>
      <c r="O55" s="136"/>
      <c r="P55" s="136"/>
    </row>
    <row r="56" spans="1:16" s="1" customFormat="1" ht="24">
      <c r="A56" s="455">
        <f>A54+1</f>
        <v>25</v>
      </c>
      <c r="B56" s="462" t="s">
        <v>149</v>
      </c>
      <c r="C56" s="456" t="s">
        <v>416</v>
      </c>
      <c r="D56" s="457" t="s">
        <v>82</v>
      </c>
      <c r="E56" s="475">
        <f>14.8</f>
        <v>14.8</v>
      </c>
      <c r="F56" s="146"/>
      <c r="G56" s="146"/>
      <c r="H56" s="146"/>
      <c r="I56" s="146"/>
      <c r="J56" s="146"/>
      <c r="K56" s="146"/>
      <c r="L56" s="146"/>
      <c r="M56" s="205"/>
      <c r="N56" s="205"/>
      <c r="O56" s="205"/>
      <c r="P56" s="205"/>
    </row>
    <row r="57" spans="1:16" s="1" customFormat="1">
      <c r="A57" s="366">
        <f>A56+1</f>
        <v>26</v>
      </c>
      <c r="B57" s="463" t="s">
        <v>149</v>
      </c>
      <c r="C57" s="436" t="s">
        <v>417</v>
      </c>
      <c r="D57" s="454" t="s">
        <v>82</v>
      </c>
      <c r="E57" s="474">
        <f>E56</f>
        <v>14.8</v>
      </c>
      <c r="F57" s="153"/>
      <c r="G57" s="153"/>
      <c r="H57" s="153"/>
      <c r="I57" s="153"/>
      <c r="J57" s="153"/>
      <c r="K57" s="153"/>
      <c r="L57" s="153"/>
      <c r="M57" s="208"/>
      <c r="N57" s="208"/>
      <c r="O57" s="208"/>
      <c r="P57" s="208"/>
    </row>
    <row r="58" spans="1:16" s="1" customFormat="1">
      <c r="A58" s="370"/>
      <c r="B58" s="460"/>
      <c r="C58" s="447" t="s">
        <v>372</v>
      </c>
      <c r="D58" s="448"/>
      <c r="E58" s="471"/>
      <c r="F58" s="135"/>
      <c r="G58" s="135"/>
      <c r="H58" s="135"/>
      <c r="I58" s="135"/>
      <c r="J58" s="135"/>
      <c r="K58" s="135"/>
      <c r="L58" s="135"/>
      <c r="M58" s="136"/>
      <c r="N58" s="136"/>
      <c r="O58" s="136"/>
      <c r="P58" s="136"/>
    </row>
    <row r="59" spans="1:16" s="1" customFormat="1" ht="24">
      <c r="A59" s="455">
        <f>A57+1</f>
        <v>27</v>
      </c>
      <c r="B59" s="462" t="s">
        <v>149</v>
      </c>
      <c r="C59" s="456" t="s">
        <v>401</v>
      </c>
      <c r="D59" s="457" t="s">
        <v>82</v>
      </c>
      <c r="E59" s="475">
        <f>59.8</f>
        <v>59.8</v>
      </c>
      <c r="F59" s="146"/>
      <c r="G59" s="146"/>
      <c r="H59" s="146"/>
      <c r="I59" s="146"/>
      <c r="J59" s="146"/>
      <c r="K59" s="146"/>
      <c r="L59" s="146"/>
      <c r="M59" s="205"/>
      <c r="N59" s="205"/>
      <c r="O59" s="205"/>
      <c r="P59" s="205"/>
    </row>
    <row r="60" spans="1:16" s="1" customFormat="1">
      <c r="A60" s="366">
        <f>A59+1</f>
        <v>28</v>
      </c>
      <c r="B60" s="463" t="s">
        <v>149</v>
      </c>
      <c r="C60" s="436" t="s">
        <v>418</v>
      </c>
      <c r="D60" s="454" t="s">
        <v>82</v>
      </c>
      <c r="E60" s="474">
        <f>E59*2</f>
        <v>119.6</v>
      </c>
      <c r="F60" s="153"/>
      <c r="G60" s="153"/>
      <c r="H60" s="153"/>
      <c r="I60" s="153"/>
      <c r="J60" s="153"/>
      <c r="K60" s="153"/>
      <c r="L60" s="153"/>
      <c r="M60" s="208"/>
      <c r="N60" s="208"/>
      <c r="O60" s="208"/>
      <c r="P60" s="208"/>
    </row>
    <row r="61" spans="1:16" s="1" customFormat="1">
      <c r="A61" s="370"/>
      <c r="B61" s="460"/>
      <c r="C61" s="447" t="s">
        <v>419</v>
      </c>
      <c r="D61" s="448"/>
      <c r="E61" s="471"/>
      <c r="F61" s="135"/>
      <c r="G61" s="135"/>
      <c r="H61" s="135"/>
      <c r="I61" s="135"/>
      <c r="J61" s="135"/>
      <c r="K61" s="135"/>
      <c r="L61" s="135"/>
      <c r="M61" s="136"/>
      <c r="N61" s="136"/>
      <c r="O61" s="136"/>
      <c r="P61" s="136"/>
    </row>
    <row r="62" spans="1:16" s="1" customFormat="1" ht="24">
      <c r="A62" s="455">
        <f>A60+1</f>
        <v>29</v>
      </c>
      <c r="B62" s="462" t="s">
        <v>149</v>
      </c>
      <c r="C62" s="456" t="s">
        <v>401</v>
      </c>
      <c r="D62" s="457" t="s">
        <v>82</v>
      </c>
      <c r="E62" s="475">
        <f>4.9</f>
        <v>4.9000000000000004</v>
      </c>
      <c r="F62" s="146"/>
      <c r="G62" s="146"/>
      <c r="H62" s="146"/>
      <c r="I62" s="146"/>
      <c r="J62" s="146"/>
      <c r="K62" s="146"/>
      <c r="L62" s="146"/>
      <c r="M62" s="205"/>
      <c r="N62" s="205"/>
      <c r="O62" s="205"/>
      <c r="P62" s="205"/>
    </row>
    <row r="63" spans="1:16" s="1" customFormat="1">
      <c r="A63" s="366">
        <f>A62+1</f>
        <v>30</v>
      </c>
      <c r="B63" s="463" t="s">
        <v>149</v>
      </c>
      <c r="C63" s="436" t="s">
        <v>418</v>
      </c>
      <c r="D63" s="454" t="s">
        <v>82</v>
      </c>
      <c r="E63" s="474">
        <f>E62*2</f>
        <v>9.8000000000000007</v>
      </c>
      <c r="F63" s="153"/>
      <c r="G63" s="153"/>
      <c r="H63" s="153"/>
      <c r="I63" s="153"/>
      <c r="J63" s="153"/>
      <c r="K63" s="153"/>
      <c r="L63" s="153"/>
      <c r="M63" s="208"/>
      <c r="N63" s="208"/>
      <c r="O63" s="208"/>
      <c r="P63" s="208"/>
    </row>
    <row r="64" spans="1:16" s="1" customFormat="1">
      <c r="A64" s="370"/>
      <c r="B64" s="460"/>
      <c r="C64" s="447" t="s">
        <v>373</v>
      </c>
      <c r="D64" s="448"/>
      <c r="E64" s="471"/>
      <c r="F64" s="135"/>
      <c r="G64" s="135"/>
      <c r="H64" s="135"/>
      <c r="I64" s="135"/>
      <c r="J64" s="135"/>
      <c r="K64" s="135"/>
      <c r="L64" s="135"/>
      <c r="M64" s="136"/>
      <c r="N64" s="136"/>
      <c r="O64" s="136"/>
      <c r="P64" s="136"/>
    </row>
    <row r="65" spans="1:16" s="1" customFormat="1" ht="24">
      <c r="A65" s="455">
        <f>A63+1</f>
        <v>31</v>
      </c>
      <c r="B65" s="462" t="s">
        <v>149</v>
      </c>
      <c r="C65" s="456" t="s">
        <v>401</v>
      </c>
      <c r="D65" s="457" t="s">
        <v>82</v>
      </c>
      <c r="E65" s="475">
        <f>21.7</f>
        <v>21.7</v>
      </c>
      <c r="F65" s="146"/>
      <c r="G65" s="146"/>
      <c r="H65" s="146"/>
      <c r="I65" s="146"/>
      <c r="J65" s="146"/>
      <c r="K65" s="146"/>
      <c r="L65" s="146"/>
      <c r="M65" s="205"/>
      <c r="N65" s="205"/>
      <c r="O65" s="205"/>
      <c r="P65" s="205"/>
    </row>
    <row r="66" spans="1:16" s="1" customFormat="1">
      <c r="A66" s="366">
        <f>A65+1</f>
        <v>32</v>
      </c>
      <c r="B66" s="463" t="s">
        <v>149</v>
      </c>
      <c r="C66" s="436" t="s">
        <v>420</v>
      </c>
      <c r="D66" s="454" t="s">
        <v>82</v>
      </c>
      <c r="E66" s="474">
        <f>E65*2</f>
        <v>43.4</v>
      </c>
      <c r="F66" s="153"/>
      <c r="G66" s="153"/>
      <c r="H66" s="153"/>
      <c r="I66" s="153"/>
      <c r="J66" s="153"/>
      <c r="K66" s="153"/>
      <c r="L66" s="153"/>
      <c r="M66" s="208"/>
      <c r="N66" s="208"/>
      <c r="O66" s="208"/>
      <c r="P66" s="208"/>
    </row>
    <row r="67" spans="1:16" s="1" customFormat="1">
      <c r="A67" s="370"/>
      <c r="B67" s="460"/>
      <c r="C67" s="447" t="s">
        <v>374</v>
      </c>
      <c r="D67" s="448"/>
      <c r="E67" s="471"/>
      <c r="F67" s="135"/>
      <c r="G67" s="135"/>
      <c r="H67" s="135"/>
      <c r="I67" s="135"/>
      <c r="J67" s="135"/>
      <c r="K67" s="135"/>
      <c r="L67" s="135"/>
      <c r="M67" s="136"/>
      <c r="N67" s="136"/>
      <c r="O67" s="136"/>
      <c r="P67" s="136"/>
    </row>
    <row r="68" spans="1:16" s="1" customFormat="1" ht="24">
      <c r="A68" s="455">
        <f>A66+1</f>
        <v>33</v>
      </c>
      <c r="B68" s="462" t="s">
        <v>149</v>
      </c>
      <c r="C68" s="456" t="s">
        <v>401</v>
      </c>
      <c r="D68" s="457" t="s">
        <v>82</v>
      </c>
      <c r="E68" s="475">
        <f>20.5</f>
        <v>20.5</v>
      </c>
      <c r="F68" s="146"/>
      <c r="G68" s="146"/>
      <c r="H68" s="146"/>
      <c r="I68" s="146"/>
      <c r="J68" s="146"/>
      <c r="K68" s="146"/>
      <c r="L68" s="146"/>
      <c r="M68" s="205"/>
      <c r="N68" s="205"/>
      <c r="O68" s="205"/>
      <c r="P68" s="205"/>
    </row>
    <row r="69" spans="1:16" s="1" customFormat="1">
      <c r="A69" s="366">
        <f>A68+1</f>
        <v>34</v>
      </c>
      <c r="B69" s="463" t="s">
        <v>149</v>
      </c>
      <c r="C69" s="436" t="s">
        <v>421</v>
      </c>
      <c r="D69" s="454" t="s">
        <v>82</v>
      </c>
      <c r="E69" s="474">
        <f>E68*2</f>
        <v>41</v>
      </c>
      <c r="F69" s="153"/>
      <c r="G69" s="153"/>
      <c r="H69" s="153"/>
      <c r="I69" s="153"/>
      <c r="J69" s="153"/>
      <c r="K69" s="153"/>
      <c r="L69" s="153"/>
      <c r="M69" s="208"/>
      <c r="N69" s="208"/>
      <c r="O69" s="208"/>
      <c r="P69" s="208"/>
    </row>
    <row r="70" spans="1:16" s="1" customFormat="1">
      <c r="A70" s="370"/>
      <c r="B70" s="460"/>
      <c r="C70" s="447" t="s">
        <v>422</v>
      </c>
      <c r="D70" s="448"/>
      <c r="E70" s="471"/>
      <c r="F70" s="135"/>
      <c r="G70" s="135"/>
      <c r="H70" s="135"/>
      <c r="I70" s="135"/>
      <c r="J70" s="135"/>
      <c r="K70" s="135"/>
      <c r="L70" s="135"/>
      <c r="M70" s="136"/>
      <c r="N70" s="136"/>
      <c r="O70" s="136"/>
      <c r="P70" s="136"/>
    </row>
    <row r="71" spans="1:16" s="1" customFormat="1" ht="24">
      <c r="A71" s="449">
        <f>A69+1</f>
        <v>35</v>
      </c>
      <c r="B71" s="459" t="s">
        <v>149</v>
      </c>
      <c r="C71" s="450" t="s">
        <v>423</v>
      </c>
      <c r="D71" s="451" t="s">
        <v>82</v>
      </c>
      <c r="E71" s="472">
        <f>7.9</f>
        <v>7.9</v>
      </c>
      <c r="F71" s="153"/>
      <c r="G71" s="153"/>
      <c r="H71" s="153"/>
      <c r="I71" s="153"/>
      <c r="J71" s="153"/>
      <c r="K71" s="153"/>
      <c r="L71" s="153"/>
      <c r="M71" s="208"/>
      <c r="N71" s="208"/>
      <c r="O71" s="208"/>
      <c r="P71" s="208"/>
    </row>
    <row r="72" spans="1:16" s="1" customFormat="1">
      <c r="A72" s="370"/>
      <c r="B72" s="460"/>
      <c r="C72" s="447" t="s">
        <v>424</v>
      </c>
      <c r="D72" s="448"/>
      <c r="E72" s="471"/>
      <c r="F72" s="135"/>
      <c r="G72" s="135"/>
      <c r="H72" s="135"/>
      <c r="I72" s="135"/>
      <c r="J72" s="135"/>
      <c r="K72" s="135"/>
      <c r="L72" s="135"/>
      <c r="M72" s="136"/>
      <c r="N72" s="136"/>
      <c r="O72" s="136"/>
      <c r="P72" s="136"/>
    </row>
    <row r="73" spans="1:16" s="1" customFormat="1">
      <c r="A73" s="449">
        <f>A71+1</f>
        <v>36</v>
      </c>
      <c r="B73" s="459" t="s">
        <v>149</v>
      </c>
      <c r="C73" s="450" t="s">
        <v>425</v>
      </c>
      <c r="D73" s="451" t="s">
        <v>82</v>
      </c>
      <c r="E73" s="472">
        <f>3113.26</f>
        <v>3113.26</v>
      </c>
      <c r="F73" s="153"/>
      <c r="G73" s="153"/>
      <c r="H73" s="153"/>
      <c r="I73" s="153"/>
      <c r="J73" s="153"/>
      <c r="K73" s="153"/>
      <c r="L73" s="153"/>
      <c r="M73" s="208"/>
      <c r="N73" s="208"/>
      <c r="O73" s="208"/>
      <c r="P73" s="208"/>
    </row>
    <row r="74" spans="1:16" s="1" customFormat="1">
      <c r="A74" s="370"/>
      <c r="B74" s="460"/>
      <c r="C74" s="447" t="s">
        <v>426</v>
      </c>
      <c r="D74" s="448"/>
      <c r="E74" s="471"/>
      <c r="F74" s="135"/>
      <c r="G74" s="135"/>
      <c r="H74" s="135"/>
      <c r="I74" s="135"/>
      <c r="J74" s="135"/>
      <c r="K74" s="135"/>
      <c r="L74" s="135"/>
      <c r="M74" s="136"/>
      <c r="N74" s="136"/>
      <c r="O74" s="136"/>
      <c r="P74" s="136"/>
    </row>
    <row r="75" spans="1:16" s="1" customFormat="1">
      <c r="A75" s="449">
        <f>A73+1</f>
        <v>37</v>
      </c>
      <c r="B75" s="459" t="s">
        <v>149</v>
      </c>
      <c r="C75" s="450" t="s">
        <v>427</v>
      </c>
      <c r="D75" s="451" t="s">
        <v>82</v>
      </c>
      <c r="E75" s="472">
        <f>290.22</f>
        <v>290.22000000000003</v>
      </c>
      <c r="F75" s="153"/>
      <c r="G75" s="153"/>
      <c r="H75" s="153"/>
      <c r="I75" s="153"/>
      <c r="J75" s="153"/>
      <c r="K75" s="153"/>
      <c r="L75" s="153"/>
      <c r="M75" s="208"/>
      <c r="N75" s="208"/>
      <c r="O75" s="208"/>
      <c r="P75" s="208"/>
    </row>
    <row r="76" spans="1:16" s="1" customFormat="1">
      <c r="A76" s="370"/>
      <c r="B76" s="460"/>
      <c r="C76" s="447" t="s">
        <v>428</v>
      </c>
      <c r="D76" s="448"/>
      <c r="E76" s="471"/>
      <c r="F76" s="135"/>
      <c r="G76" s="135"/>
      <c r="H76" s="135"/>
      <c r="I76" s="135"/>
      <c r="J76" s="135"/>
      <c r="K76" s="135"/>
      <c r="L76" s="135"/>
      <c r="M76" s="136"/>
      <c r="N76" s="136"/>
      <c r="O76" s="136"/>
      <c r="P76" s="136"/>
    </row>
    <row r="77" spans="1:16" s="1" customFormat="1">
      <c r="A77" s="449">
        <f>A75+1</f>
        <v>38</v>
      </c>
      <c r="B77" s="459" t="s">
        <v>149</v>
      </c>
      <c r="C77" s="450" t="s">
        <v>429</v>
      </c>
      <c r="D77" s="451" t="s">
        <v>81</v>
      </c>
      <c r="E77" s="472">
        <v>1</v>
      </c>
      <c r="F77" s="146"/>
      <c r="G77" s="146"/>
      <c r="H77" s="146"/>
      <c r="I77" s="146"/>
      <c r="J77" s="146"/>
      <c r="K77" s="146"/>
      <c r="L77" s="146"/>
      <c r="M77" s="205"/>
      <c r="N77" s="205"/>
      <c r="O77" s="205"/>
      <c r="P77" s="205"/>
    </row>
    <row r="78" spans="1:16">
      <c r="A78" s="890" t="s">
        <v>177</v>
      </c>
      <c r="B78" s="890"/>
      <c r="C78" s="890"/>
      <c r="D78" s="890"/>
      <c r="E78" s="890"/>
      <c r="F78" s="890"/>
      <c r="G78" s="890"/>
      <c r="H78" s="890"/>
      <c r="I78" s="890"/>
      <c r="J78" s="890"/>
      <c r="K78" s="890"/>
      <c r="L78" s="131">
        <f>SUM(L15:L77)</f>
        <v>0</v>
      </c>
      <c r="M78" s="131">
        <f t="shared" ref="M78:P78" si="0">SUM(M15:M77)</f>
        <v>0</v>
      </c>
      <c r="N78" s="131">
        <f t="shared" si="0"/>
        <v>0</v>
      </c>
      <c r="O78" s="131">
        <f t="shared" si="0"/>
        <v>0</v>
      </c>
      <c r="P78" s="131">
        <f t="shared" si="0"/>
        <v>0</v>
      </c>
    </row>
    <row r="79" spans="1:16" s="1" customFormat="1" ht="12.75" customHeight="1">
      <c r="A79" s="885" t="s">
        <v>36</v>
      </c>
      <c r="B79" s="885"/>
      <c r="C79" s="83"/>
      <c r="D79" s="83"/>
      <c r="E79" s="105"/>
      <c r="F79" s="83"/>
      <c r="G79" s="83"/>
      <c r="H79" s="83"/>
      <c r="I79" s="83"/>
      <c r="J79" s="83"/>
      <c r="K79" s="83"/>
      <c r="L79" s="83"/>
      <c r="M79" s="83"/>
      <c r="N79" s="83"/>
      <c r="O79" s="83"/>
      <c r="P79" s="83"/>
    </row>
    <row r="80" spans="1:16" s="50" customFormat="1">
      <c r="A80" s="886" t="s">
        <v>56</v>
      </c>
      <c r="B80" s="886"/>
      <c r="C80" s="886"/>
      <c r="D80" s="886"/>
      <c r="E80" s="886"/>
      <c r="F80" s="886"/>
      <c r="G80" s="886"/>
      <c r="H80" s="886"/>
      <c r="I80" s="886"/>
      <c r="J80" s="886"/>
      <c r="K80" s="886"/>
      <c r="L80" s="886"/>
      <c r="M80" s="886"/>
      <c r="N80" s="886"/>
      <c r="O80" s="886"/>
      <c r="P80" s="886"/>
    </row>
    <row r="81" spans="1:16" s="50" customFormat="1">
      <c r="A81" s="906"/>
      <c r="B81" s="906"/>
      <c r="C81" s="84"/>
      <c r="D81" s="84"/>
      <c r="E81" s="106"/>
      <c r="F81" s="84"/>
      <c r="G81" s="84"/>
      <c r="H81" s="84"/>
      <c r="I81" s="84"/>
      <c r="J81" s="84"/>
      <c r="K81" s="84"/>
      <c r="L81" s="84">
        <f>Koptame!A87</f>
        <v>0</v>
      </c>
      <c r="M81" s="84"/>
      <c r="N81" s="84"/>
      <c r="O81" s="84"/>
      <c r="P81" s="84"/>
    </row>
    <row r="82" spans="1:16" s="50" customFormat="1">
      <c r="A82" s="906" t="s">
        <v>7</v>
      </c>
      <c r="B82" s="906"/>
      <c r="C82" s="314"/>
      <c r="D82" s="84"/>
      <c r="E82" s="106"/>
      <c r="F82" s="84"/>
      <c r="G82" s="84"/>
      <c r="H82" s="84"/>
      <c r="I82" s="84"/>
      <c r="J82" s="84"/>
      <c r="K82" s="84"/>
      <c r="L82" s="314"/>
      <c r="M82" s="905">
        <f>Koptame!B88</f>
        <v>0</v>
      </c>
      <c r="N82" s="905"/>
      <c r="O82" s="84"/>
      <c r="P82" s="84"/>
    </row>
    <row r="83" spans="1:16" s="50" customFormat="1" collapsed="1">
      <c r="A83" s="316"/>
      <c r="B83" s="86"/>
      <c r="E83" s="103"/>
      <c r="F83" s="87"/>
      <c r="G83" s="87"/>
    </row>
  </sheetData>
  <mergeCells count="25">
    <mergeCell ref="E10:E11"/>
    <mergeCell ref="C6:P6"/>
    <mergeCell ref="M82:N82"/>
    <mergeCell ref="F10:K10"/>
    <mergeCell ref="L10:P10"/>
    <mergeCell ref="A80:P80"/>
    <mergeCell ref="A81:B81"/>
    <mergeCell ref="A82:B82"/>
    <mergeCell ref="A79:B79"/>
    <mergeCell ref="A1:P1"/>
    <mergeCell ref="A78:K78"/>
    <mergeCell ref="A5:B5"/>
    <mergeCell ref="C10:C11"/>
    <mergeCell ref="A2:P2"/>
    <mergeCell ref="A3:B3"/>
    <mergeCell ref="C3:P3"/>
    <mergeCell ref="A4:B4"/>
    <mergeCell ref="A10:A11"/>
    <mergeCell ref="B10:B11"/>
    <mergeCell ref="A7:B7"/>
    <mergeCell ref="C4:P4"/>
    <mergeCell ref="C5:P5"/>
    <mergeCell ref="C7:P7"/>
    <mergeCell ref="A6:B6"/>
    <mergeCell ref="D10:D11"/>
  </mergeCells>
  <conditionalFormatting sqref="C13:C15 C40">
    <cfRule type="expression" priority="78" stopIfTrue="1">
      <formula>#REF!</formula>
    </cfRule>
  </conditionalFormatting>
  <conditionalFormatting sqref="C13:C15 C40">
    <cfRule type="expression" priority="77" stopIfTrue="1">
      <formula>#REF!</formula>
    </cfRule>
  </conditionalFormatting>
  <conditionalFormatting sqref="C20">
    <cfRule type="expression" priority="72" stopIfTrue="1">
      <formula>#REF!</formula>
    </cfRule>
  </conditionalFormatting>
  <conditionalFormatting sqref="C20">
    <cfRule type="expression" priority="71" stopIfTrue="1">
      <formula>#REF!</formula>
    </cfRule>
  </conditionalFormatting>
  <conditionalFormatting sqref="C18">
    <cfRule type="expression" priority="76" stopIfTrue="1">
      <formula>#REF!</formula>
    </cfRule>
  </conditionalFormatting>
  <conditionalFormatting sqref="C18">
    <cfRule type="expression" priority="75" stopIfTrue="1">
      <formula>#REF!</formula>
    </cfRule>
  </conditionalFormatting>
  <conditionalFormatting sqref="C21">
    <cfRule type="expression" priority="74" stopIfTrue="1">
      <formula>#REF!</formula>
    </cfRule>
  </conditionalFormatting>
  <conditionalFormatting sqref="C21">
    <cfRule type="expression" priority="73" stopIfTrue="1">
      <formula>#REF!</formula>
    </cfRule>
  </conditionalFormatting>
  <conditionalFormatting sqref="C22">
    <cfRule type="expression" priority="70" stopIfTrue="1">
      <formula>#REF!</formula>
    </cfRule>
  </conditionalFormatting>
  <conditionalFormatting sqref="C22">
    <cfRule type="expression" priority="69" stopIfTrue="1">
      <formula>#REF!</formula>
    </cfRule>
  </conditionalFormatting>
  <conditionalFormatting sqref="C24">
    <cfRule type="expression" priority="68" stopIfTrue="1">
      <formula>#REF!</formula>
    </cfRule>
  </conditionalFormatting>
  <conditionalFormatting sqref="C24">
    <cfRule type="expression" priority="67" stopIfTrue="1">
      <formula>#REF!</formula>
    </cfRule>
  </conditionalFormatting>
  <conditionalFormatting sqref="C16:C17">
    <cfRule type="expression" priority="66" stopIfTrue="1">
      <formula>#REF!</formula>
    </cfRule>
  </conditionalFormatting>
  <conditionalFormatting sqref="C16:C17">
    <cfRule type="expression" priority="65" stopIfTrue="1">
      <formula>#REF!</formula>
    </cfRule>
  </conditionalFormatting>
  <conditionalFormatting sqref="C19">
    <cfRule type="expression" priority="64" stopIfTrue="1">
      <formula>#REF!</formula>
    </cfRule>
  </conditionalFormatting>
  <conditionalFormatting sqref="C19">
    <cfRule type="expression" priority="63" stopIfTrue="1">
      <formula>#REF!</formula>
    </cfRule>
  </conditionalFormatting>
  <conditionalFormatting sqref="C23">
    <cfRule type="expression" priority="62" stopIfTrue="1">
      <formula>#REF!</formula>
    </cfRule>
  </conditionalFormatting>
  <conditionalFormatting sqref="C23">
    <cfRule type="expression" priority="61" stopIfTrue="1">
      <formula>#REF!</formula>
    </cfRule>
  </conditionalFormatting>
  <conditionalFormatting sqref="C25">
    <cfRule type="expression" priority="60" stopIfTrue="1">
      <formula>#REF!</formula>
    </cfRule>
  </conditionalFormatting>
  <conditionalFormatting sqref="C25">
    <cfRule type="expression" priority="59" stopIfTrue="1">
      <formula>#REF!</formula>
    </cfRule>
  </conditionalFormatting>
  <conditionalFormatting sqref="C26">
    <cfRule type="expression" priority="58" stopIfTrue="1">
      <formula>#REF!</formula>
    </cfRule>
  </conditionalFormatting>
  <conditionalFormatting sqref="C26">
    <cfRule type="expression" priority="57" stopIfTrue="1">
      <formula>#REF!</formula>
    </cfRule>
  </conditionalFormatting>
  <conditionalFormatting sqref="C27">
    <cfRule type="expression" priority="56" stopIfTrue="1">
      <formula>#REF!</formula>
    </cfRule>
  </conditionalFormatting>
  <conditionalFormatting sqref="C27">
    <cfRule type="expression" priority="55" stopIfTrue="1">
      <formula>#REF!</formula>
    </cfRule>
  </conditionalFormatting>
  <conditionalFormatting sqref="C28">
    <cfRule type="expression" priority="54" stopIfTrue="1">
      <formula>#REF!</formula>
    </cfRule>
  </conditionalFormatting>
  <conditionalFormatting sqref="C28">
    <cfRule type="expression" priority="53" stopIfTrue="1">
      <formula>#REF!</formula>
    </cfRule>
  </conditionalFormatting>
  <conditionalFormatting sqref="C29">
    <cfRule type="expression" priority="52" stopIfTrue="1">
      <formula>#REF!</formula>
    </cfRule>
  </conditionalFormatting>
  <conditionalFormatting sqref="C29">
    <cfRule type="expression" priority="51" stopIfTrue="1">
      <formula>#REF!</formula>
    </cfRule>
  </conditionalFormatting>
  <conditionalFormatting sqref="C30:C32">
    <cfRule type="expression" priority="50" stopIfTrue="1">
      <formula>#REF!</formula>
    </cfRule>
  </conditionalFormatting>
  <conditionalFormatting sqref="C30:C32">
    <cfRule type="expression" priority="49" stopIfTrue="1">
      <formula>#REF!</formula>
    </cfRule>
  </conditionalFormatting>
  <conditionalFormatting sqref="C33:C35">
    <cfRule type="expression" priority="48" stopIfTrue="1">
      <formula>#REF!</formula>
    </cfRule>
  </conditionalFormatting>
  <conditionalFormatting sqref="C33:C35">
    <cfRule type="expression" priority="47" stopIfTrue="1">
      <formula>#REF!</formula>
    </cfRule>
  </conditionalFormatting>
  <conditionalFormatting sqref="C70:C71">
    <cfRule type="expression" priority="46" stopIfTrue="1">
      <formula>#REF!</formula>
    </cfRule>
  </conditionalFormatting>
  <conditionalFormatting sqref="C70:C71">
    <cfRule type="expression" priority="45" stopIfTrue="1">
      <formula>#REF!</formula>
    </cfRule>
  </conditionalFormatting>
  <conditionalFormatting sqref="C41">
    <cfRule type="expression" priority="44" stopIfTrue="1">
      <formula>#REF!</formula>
    </cfRule>
  </conditionalFormatting>
  <conditionalFormatting sqref="C41">
    <cfRule type="expression" priority="43" stopIfTrue="1">
      <formula>#REF!</formula>
    </cfRule>
  </conditionalFormatting>
  <conditionalFormatting sqref="C42">
    <cfRule type="expression" priority="42" stopIfTrue="1">
      <formula>#REF!</formula>
    </cfRule>
  </conditionalFormatting>
  <conditionalFormatting sqref="C42">
    <cfRule type="expression" priority="41" stopIfTrue="1">
      <formula>#REF!</formula>
    </cfRule>
  </conditionalFormatting>
  <conditionalFormatting sqref="C43:C45">
    <cfRule type="expression" priority="40" stopIfTrue="1">
      <formula>#REF!</formula>
    </cfRule>
  </conditionalFormatting>
  <conditionalFormatting sqref="C43:C45">
    <cfRule type="expression" priority="39" stopIfTrue="1">
      <formula>#REF!</formula>
    </cfRule>
  </conditionalFormatting>
  <conditionalFormatting sqref="C46:C48">
    <cfRule type="expression" priority="38" stopIfTrue="1">
      <formula>#REF!</formula>
    </cfRule>
  </conditionalFormatting>
  <conditionalFormatting sqref="C46:C48">
    <cfRule type="expression" priority="37" stopIfTrue="1">
      <formula>#REF!</formula>
    </cfRule>
  </conditionalFormatting>
  <conditionalFormatting sqref="C49:C51">
    <cfRule type="expression" priority="36" stopIfTrue="1">
      <formula>#REF!</formula>
    </cfRule>
  </conditionalFormatting>
  <conditionalFormatting sqref="C49:C51">
    <cfRule type="expression" priority="35" stopIfTrue="1">
      <formula>#REF!</formula>
    </cfRule>
  </conditionalFormatting>
  <conditionalFormatting sqref="C52:C54">
    <cfRule type="expression" priority="34" stopIfTrue="1">
      <formula>#REF!</formula>
    </cfRule>
  </conditionalFormatting>
  <conditionalFormatting sqref="C52:C54">
    <cfRule type="expression" priority="33" stopIfTrue="1">
      <formula>#REF!</formula>
    </cfRule>
  </conditionalFormatting>
  <conditionalFormatting sqref="C55">
    <cfRule type="expression" priority="32" stopIfTrue="1">
      <formula>#REF!</formula>
    </cfRule>
  </conditionalFormatting>
  <conditionalFormatting sqref="C55">
    <cfRule type="expression" priority="31" stopIfTrue="1">
      <formula>#REF!</formula>
    </cfRule>
  </conditionalFormatting>
  <conditionalFormatting sqref="C56">
    <cfRule type="expression" priority="30" stopIfTrue="1">
      <formula>#REF!</formula>
    </cfRule>
  </conditionalFormatting>
  <conditionalFormatting sqref="C56">
    <cfRule type="expression" priority="29" stopIfTrue="1">
      <formula>#REF!</formula>
    </cfRule>
  </conditionalFormatting>
  <conditionalFormatting sqref="C57">
    <cfRule type="expression" priority="28" stopIfTrue="1">
      <formula>#REF!</formula>
    </cfRule>
  </conditionalFormatting>
  <conditionalFormatting sqref="C57">
    <cfRule type="expression" priority="27" stopIfTrue="1">
      <formula>#REF!</formula>
    </cfRule>
  </conditionalFormatting>
  <conditionalFormatting sqref="C58:C60">
    <cfRule type="expression" priority="26" stopIfTrue="1">
      <formula>#REF!</formula>
    </cfRule>
  </conditionalFormatting>
  <conditionalFormatting sqref="C58:C60">
    <cfRule type="expression" priority="25" stopIfTrue="1">
      <formula>#REF!</formula>
    </cfRule>
  </conditionalFormatting>
  <conditionalFormatting sqref="C61:C62">
    <cfRule type="expression" priority="24" stopIfTrue="1">
      <formula>#REF!</formula>
    </cfRule>
  </conditionalFormatting>
  <conditionalFormatting sqref="C61:C62">
    <cfRule type="expression" priority="23" stopIfTrue="1">
      <formula>#REF!</formula>
    </cfRule>
  </conditionalFormatting>
  <conditionalFormatting sqref="C64:C66">
    <cfRule type="expression" priority="22" stopIfTrue="1">
      <formula>#REF!</formula>
    </cfRule>
  </conditionalFormatting>
  <conditionalFormatting sqref="C64:C66">
    <cfRule type="expression" priority="21" stopIfTrue="1">
      <formula>#REF!</formula>
    </cfRule>
  </conditionalFormatting>
  <conditionalFormatting sqref="C67:C69">
    <cfRule type="expression" priority="20" stopIfTrue="1">
      <formula>#REF!</formula>
    </cfRule>
  </conditionalFormatting>
  <conditionalFormatting sqref="C67:C69">
    <cfRule type="expression" priority="19" stopIfTrue="1">
      <formula>#REF!</formula>
    </cfRule>
  </conditionalFormatting>
  <conditionalFormatting sqref="C63">
    <cfRule type="expression" priority="18" stopIfTrue="1">
      <formula>#REF!</formula>
    </cfRule>
  </conditionalFormatting>
  <conditionalFormatting sqref="C63">
    <cfRule type="expression" priority="17" stopIfTrue="1">
      <formula>#REF!</formula>
    </cfRule>
  </conditionalFormatting>
  <conditionalFormatting sqref="C72">
    <cfRule type="expression" priority="16" stopIfTrue="1">
      <formula>#REF!</formula>
    </cfRule>
  </conditionalFormatting>
  <conditionalFormatting sqref="C72">
    <cfRule type="expression" priority="15" stopIfTrue="1">
      <formula>#REF!</formula>
    </cfRule>
  </conditionalFormatting>
  <conditionalFormatting sqref="C73">
    <cfRule type="expression" priority="14" stopIfTrue="1">
      <formula>#REF!</formula>
    </cfRule>
  </conditionalFormatting>
  <conditionalFormatting sqref="C73">
    <cfRule type="expression" priority="13" stopIfTrue="1">
      <formula>#REF!</formula>
    </cfRule>
  </conditionalFormatting>
  <conditionalFormatting sqref="C76">
    <cfRule type="expression" priority="12" stopIfTrue="1">
      <formula>#REF!</formula>
    </cfRule>
  </conditionalFormatting>
  <conditionalFormatting sqref="C76">
    <cfRule type="expression" priority="11" stopIfTrue="1">
      <formula>#REF!</formula>
    </cfRule>
  </conditionalFormatting>
  <conditionalFormatting sqref="C77">
    <cfRule type="expression" priority="10" stopIfTrue="1">
      <formula>#REF!</formula>
    </cfRule>
  </conditionalFormatting>
  <conditionalFormatting sqref="C77">
    <cfRule type="expression" priority="9" stopIfTrue="1">
      <formula>#REF!</formula>
    </cfRule>
  </conditionalFormatting>
  <conditionalFormatting sqref="C36:C38">
    <cfRule type="expression" priority="8" stopIfTrue="1">
      <formula>#REF!</formula>
    </cfRule>
  </conditionalFormatting>
  <conditionalFormatting sqref="C36:C38">
    <cfRule type="expression" priority="7" stopIfTrue="1">
      <formula>#REF!</formula>
    </cfRule>
  </conditionalFormatting>
  <conditionalFormatting sqref="C39">
    <cfRule type="expression" priority="6" stopIfTrue="1">
      <formula>#REF!</formula>
    </cfRule>
  </conditionalFormatting>
  <conditionalFormatting sqref="C39">
    <cfRule type="expression" priority="5" stopIfTrue="1">
      <formula>#REF!</formula>
    </cfRule>
  </conditionalFormatting>
  <conditionalFormatting sqref="C75">
    <cfRule type="expression" priority="4" stopIfTrue="1">
      <formula>#REF!</formula>
    </cfRule>
  </conditionalFormatting>
  <conditionalFormatting sqref="C75">
    <cfRule type="expression" priority="3" stopIfTrue="1">
      <formula>#REF!</formula>
    </cfRule>
  </conditionalFormatting>
  <conditionalFormatting sqref="C74">
    <cfRule type="expression" priority="2" stopIfTrue="1">
      <formula>#REF!</formula>
    </cfRule>
  </conditionalFormatting>
  <conditionalFormatting sqref="C74">
    <cfRule type="expression" priority="1" stopIfTrue="1">
      <formula>#REF!</formula>
    </cfRule>
  </conditionalFormatting>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38</vt:i4>
      </vt:variant>
    </vt:vector>
  </HeadingPairs>
  <TitlesOfParts>
    <vt:vector size="73" baseType="lpstr">
      <vt:lpstr>Koptame</vt:lpstr>
      <vt:lpstr>Kopsavilkums 1</vt:lpstr>
      <vt:lpstr>1.1</vt:lpstr>
      <vt:lpstr>1.2</vt:lpstr>
      <vt:lpstr>1.3</vt:lpstr>
      <vt:lpstr>1.4</vt:lpstr>
      <vt:lpstr>1.5</vt:lpstr>
      <vt:lpstr>1.6</vt:lpstr>
      <vt:lpstr>1.7</vt:lpstr>
      <vt:lpstr>1.8</vt:lpstr>
      <vt:lpstr>1.9</vt:lpstr>
      <vt:lpstr>1.10</vt:lpstr>
      <vt:lpstr>1.11</vt:lpstr>
      <vt:lpstr>1.12</vt:lpstr>
      <vt:lpstr>1.13</vt:lpstr>
      <vt:lpstr>1.14</vt:lpstr>
      <vt:lpstr>Kopsavilkums 2</vt:lpstr>
      <vt:lpstr>2.1</vt:lpstr>
      <vt:lpstr>2.2</vt:lpstr>
      <vt:lpstr>2.3</vt:lpstr>
      <vt:lpstr>2.4</vt:lpstr>
      <vt:lpstr>2.5</vt:lpstr>
      <vt:lpstr>2.6</vt:lpstr>
      <vt:lpstr>2.7</vt:lpstr>
      <vt:lpstr>2.8</vt:lpstr>
      <vt:lpstr>2.9</vt:lpstr>
      <vt:lpstr>2.10</vt:lpstr>
      <vt:lpstr>2.11</vt:lpstr>
      <vt:lpstr>2.12</vt:lpstr>
      <vt:lpstr>2.13</vt:lpstr>
      <vt:lpstr>Kopsavilkums 3</vt:lpstr>
      <vt:lpstr>3.1</vt:lpstr>
      <vt:lpstr>Kopsavilkums 4</vt:lpstr>
      <vt:lpstr>4.1</vt:lpstr>
      <vt:lpstr>4.2</vt:lpstr>
      <vt:lpstr>'1.1'!Print_Area</vt:lpstr>
      <vt:lpstr>'1.2'!Print_Area</vt:lpstr>
      <vt:lpstr>'1.7'!Print_Area</vt:lpstr>
      <vt:lpstr>'1.9'!Print_Area</vt:lpstr>
      <vt:lpstr>'2.11'!Print_Area</vt:lpstr>
      <vt:lpstr>'2.12'!Print_Area</vt:lpstr>
      <vt:lpstr>'2.13'!Print_Area</vt:lpstr>
      <vt:lpstr>'2.3'!Print_Area</vt:lpstr>
      <vt:lpstr>'2.5'!Print_Area</vt:lpstr>
      <vt:lpstr>'2.7'!Print_Area</vt:lpstr>
      <vt:lpstr>'3.1'!Print_Area</vt:lpstr>
      <vt:lpstr>Koptame!Print_Area</vt:lpstr>
      <vt:lpstr>'1.1'!Print_Titles</vt:lpstr>
      <vt:lpstr>'1.10'!Print_Titles</vt:lpstr>
      <vt:lpstr>'1.2'!Print_Titles</vt:lpstr>
      <vt:lpstr>'1.3'!Print_Titles</vt:lpstr>
      <vt:lpstr>'1.4'!Print_Titles</vt:lpstr>
      <vt:lpstr>'1.5'!Print_Titles</vt:lpstr>
      <vt:lpstr>'1.6'!Print_Titles</vt:lpstr>
      <vt:lpstr>'1.7'!Print_Titles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'Kopsavilkums 1'!Print_Titles</vt:lpstr>
      <vt:lpstr>'Kopsavilkums 2'!Print_Titles</vt:lpstr>
      <vt:lpstr>'Kopsavilkums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Maris Ignatovics</cp:lastModifiedBy>
  <cp:lastPrinted>2019-08-30T08:01:15Z</cp:lastPrinted>
  <dcterms:created xsi:type="dcterms:W3CDTF">2011-09-07T11:49:58Z</dcterms:created>
  <dcterms:modified xsi:type="dcterms:W3CDTF">2019-09-18T11:21:31Z</dcterms:modified>
</cp:coreProperties>
</file>